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STC" sheetId="1" r:id="rId4"/>
    <sheet state="visible" name="PT" sheetId="2" r:id="rId5"/>
    <sheet state="visible" name="PTD" sheetId="3" r:id="rId6"/>
    <sheet state="visible" name="PS(М)" sheetId="4" r:id="rId7"/>
    <sheet state="visible" name="PVT(S)" sheetId="5" r:id="rId8"/>
    <sheet state="visible" name="PZ" sheetId="6" r:id="rId9"/>
    <sheet state="visible" name="PC" sheetId="7" r:id="rId10"/>
    <sheet state="visible" name="P2C" sheetId="8" r:id="rId11"/>
    <sheet state="visible" name="PXZ" sheetId="9" r:id="rId12"/>
    <sheet state="visible" name="PZWM" sheetId="10" r:id="rId13"/>
    <sheet state="visible" name="WQ-WQA-WQV" sheetId="11" r:id="rId14"/>
  </sheets>
  <definedNames>
    <definedName localSheetId="4" name="Print_Area">'PVT(S)'!$A:$M</definedName>
    <definedName localSheetId="2" name="Print_Area">PTD!$A:$N</definedName>
    <definedName localSheetId="0" name="Print_Area">PSTC!$A:$M</definedName>
    <definedName localSheetId="5" name="Print_Area">PZ!$A:$M</definedName>
  </definedNames>
  <calcPr/>
</workbook>
</file>

<file path=xl/sharedStrings.xml><?xml version="1.0" encoding="utf-8"?>
<sst xmlns="http://schemas.openxmlformats.org/spreadsheetml/2006/main" count="3760" uniqueCount="1201">
  <si>
    <t>7(495)735-66-17</t>
  </si>
  <si>
    <r>
      <rPr>
        <rFont val="Calibri"/>
        <b/>
        <color theme="1"/>
        <sz val="18.0"/>
      </rPr>
      <t xml:space="preserve">Моноблочные насосы - PSTC </t>
    </r>
    <r>
      <rPr>
        <rFont val="Calibri"/>
        <b/>
        <color theme="1"/>
        <sz val="14.0"/>
      </rPr>
      <t xml:space="preserve"> </t>
    </r>
  </si>
  <si>
    <t>(EN733)</t>
  </si>
  <si>
    <t>Модель</t>
  </si>
  <si>
    <t>Мощность двигателя</t>
  </si>
  <si>
    <t>Характеристики</t>
  </si>
  <si>
    <t>Патрубки</t>
  </si>
  <si>
    <t>Прайс в USD</t>
  </si>
  <si>
    <t>Рабочее колесо</t>
  </si>
  <si>
    <t>n</t>
  </si>
  <si>
    <t>Вес</t>
  </si>
  <si>
    <t>Объем</t>
  </si>
  <si>
    <t>PSTC</t>
  </si>
  <si>
    <t>Q</t>
  </si>
  <si>
    <t>H</t>
  </si>
  <si>
    <t>кВт</t>
  </si>
  <si>
    <t>л.с.</t>
  </si>
  <si>
    <t>м³/ч</t>
  </si>
  <si>
    <t>м</t>
  </si>
  <si>
    <t>мм</t>
  </si>
  <si>
    <t>1-фаза</t>
  </si>
  <si>
    <t>3-фазы</t>
  </si>
  <si>
    <t>об/мин</t>
  </si>
  <si>
    <t>кг</t>
  </si>
  <si>
    <t>м³</t>
  </si>
  <si>
    <t>PSTC 32-125/7 (N)</t>
  </si>
  <si>
    <t>50×32</t>
  </si>
  <si>
    <t>Нерж. 304</t>
  </si>
  <si>
    <t>PSTC 32-125/11 (N)</t>
  </si>
  <si>
    <t>PSTC 32-160/15 (N)</t>
  </si>
  <si>
    <t>PSTC 32-160/22 (N)</t>
  </si>
  <si>
    <t>PSTC 32-160/30 (N)</t>
  </si>
  <si>
    <t>PSTC 32-200/30 (N)</t>
  </si>
  <si>
    <t>PSTC 32-200/40 (N)</t>
  </si>
  <si>
    <t>PSTC 32-250/55 (N)</t>
  </si>
  <si>
    <t>Чугун</t>
  </si>
  <si>
    <t>PSTC 32-250/75 (N)</t>
  </si>
  <si>
    <t>PSTC 32-250/92 (N)</t>
  </si>
  <si>
    <t>PSTC 32-250/110 (N)</t>
  </si>
  <si>
    <t>PSTC 32-250/150 (N)</t>
  </si>
  <si>
    <t>PSTC 32-250/55D (N)</t>
  </si>
  <si>
    <t>PSTC 32-250/75D (N)</t>
  </si>
  <si>
    <t>PSTC 40-125/11 (N)</t>
  </si>
  <si>
    <t>65×40</t>
  </si>
  <si>
    <t>PSTC 40-125/15 (N)</t>
  </si>
  <si>
    <t>PSTC 40-125/22 (N)</t>
  </si>
  <si>
    <t>PSTC 40-160/30 (N)</t>
  </si>
  <si>
    <t>PSTC 40-160/40 (N)</t>
  </si>
  <si>
    <t>PSTC 40-200/55 (N)</t>
  </si>
  <si>
    <t>PSTC 40-200/75 (N)</t>
  </si>
  <si>
    <t>PSTC 40-250/92 (N)</t>
  </si>
  <si>
    <t>PSTC 40-250/110 (N)</t>
  </si>
  <si>
    <t>PSTC 40-250/150 (N)</t>
  </si>
  <si>
    <t>PSTC 40-250/185 (N)</t>
  </si>
  <si>
    <t>PSTC 50-125/22 (N)</t>
  </si>
  <si>
    <t>65×50</t>
  </si>
  <si>
    <t>PSTC 50-125/30 (N)</t>
  </si>
  <si>
    <t>PSTC 50-125/40 (N)</t>
  </si>
  <si>
    <t>PSTC 50-160/55 (N)</t>
  </si>
  <si>
    <t>PSTC 50-160/75 (N)</t>
  </si>
  <si>
    <t>PSTC 50-200/92 (N)</t>
  </si>
  <si>
    <t>PSTC 50-200/110 (N)</t>
  </si>
  <si>
    <t>PSTC 50-200/150 (N)</t>
  </si>
  <si>
    <t>PSTC 50-250/150 (N)</t>
  </si>
  <si>
    <t>PSTC 50-250/185 (N)</t>
  </si>
  <si>
    <t>PSTC 50-250/220 (N)</t>
  </si>
  <si>
    <t>PSTC 65-125/40 (N)</t>
  </si>
  <si>
    <t>80×65</t>
  </si>
  <si>
    <t>PSTC 65-125/55 (N)</t>
  </si>
  <si>
    <t>PSTC 65-125/75 (N)</t>
  </si>
  <si>
    <t>PSTC 65-160/92 (N)</t>
  </si>
  <si>
    <t>PSTC 65-160/110 (N)</t>
  </si>
  <si>
    <t>PSTC 65-160/150 (N)</t>
  </si>
  <si>
    <t>PSTC 65-200/150 (N)</t>
  </si>
  <si>
    <t>PSTC 65-200/185 (N)</t>
  </si>
  <si>
    <t>PSTC 65-200/220 (N)</t>
  </si>
  <si>
    <t>PSTC 65-250/220 (N)</t>
  </si>
  <si>
    <t>PSTC 65-250/300 (N)</t>
  </si>
  <si>
    <t>PSTC 65-250/370 (N)</t>
  </si>
  <si>
    <t>PSTC 65-315/450 (N)</t>
  </si>
  <si>
    <t>по запросу</t>
  </si>
  <si>
    <t>PSTC 65-315/550 (N)</t>
  </si>
  <si>
    <t>PSTC 65-315/750 (N)</t>
  </si>
  <si>
    <t>PSTC 65-315/900 (N)</t>
  </si>
  <si>
    <t>PSTC 80-125/40 (N)</t>
  </si>
  <si>
    <t>100×80</t>
  </si>
  <si>
    <t>PSTC 80-125/55 (N)</t>
  </si>
  <si>
    <t>PSTC 80-125/75 (N)</t>
  </si>
  <si>
    <t>PSTC 80-160/110 (N)</t>
  </si>
  <si>
    <t>PSTC 80-160/150 (N)</t>
  </si>
  <si>
    <t>PSTC 80-160/185 (N)</t>
  </si>
  <si>
    <t>PSTC 80-160/220 (N)</t>
  </si>
  <si>
    <t>PSTC 80-200/220 (N)</t>
  </si>
  <si>
    <t>PSTC 80-200/300 (N)</t>
  </si>
  <si>
    <t>PSTC 80-250/370 (N)</t>
  </si>
  <si>
    <t>PSTC 80-250/450 (N)</t>
  </si>
  <si>
    <t>PSTC 80-250/550 (N)</t>
  </si>
  <si>
    <t>PSTC 80-315/450 (N)</t>
  </si>
  <si>
    <t>PSTC 80-315/550 (N)</t>
  </si>
  <si>
    <t>PSTC 80-315/750 (N)</t>
  </si>
  <si>
    <t>PSTC 80-315/900 (N)</t>
  </si>
  <si>
    <t>PSTC 100-160/150 (N)</t>
  </si>
  <si>
    <t>125×100</t>
  </si>
  <si>
    <t>PSTC 100-160/185 (N)</t>
  </si>
  <si>
    <t>PSTC 100-160/220 (N)</t>
  </si>
  <si>
    <t>PSTC 100-200/220 (N)</t>
  </si>
  <si>
    <t>PSTC 100-200/300 (N)</t>
  </si>
  <si>
    <t>PSTC 100-200/370 (N)</t>
  </si>
  <si>
    <t>PSTC 100-250/450 (N)</t>
  </si>
  <si>
    <t>PSTC 100-250/550 (N)</t>
  </si>
  <si>
    <t>PSTC 100-250/750 (N)</t>
  </si>
  <si>
    <t>PSTC 100-250/900 (N)</t>
  </si>
  <si>
    <t>PSTC 100-315/750 (N)</t>
  </si>
  <si>
    <t>PSTC 100-315/900 (N)</t>
  </si>
  <si>
    <t>PSTC 100-315/1100 (N)</t>
  </si>
  <si>
    <t>PSTC 100-315/1320 (N)</t>
  </si>
  <si>
    <t>PSTC 100-315/1600 (N)</t>
  </si>
  <si>
    <t>PSTC 125-200/450 (N)</t>
  </si>
  <si>
    <t>150×125</t>
  </si>
  <si>
    <t>PSTC 125-200/550 (N)</t>
  </si>
  <si>
    <t>PSTC 125-200/750 (N)</t>
  </si>
  <si>
    <t>PSTC 125-250/550 (N)</t>
  </si>
  <si>
    <t>PSTC 125-250/750 (N)</t>
  </si>
  <si>
    <t>PSTC 125-250/900 (N)</t>
  </si>
  <si>
    <t>Корпус насоса</t>
  </si>
  <si>
    <t>Чугун с антикоррозийным покрытием</t>
  </si>
  <si>
    <t>Вал</t>
  </si>
  <si>
    <t>Сталь с хромированным покрытием</t>
  </si>
  <si>
    <t>Уплотнение</t>
  </si>
  <si>
    <t>Механическое уплотнение, Carbon-SiC-NBR</t>
  </si>
  <si>
    <t>Подшипники</t>
  </si>
  <si>
    <t>NSK</t>
  </si>
  <si>
    <t>Фланцы</t>
  </si>
  <si>
    <t>Оцинкованные ответные фланцы с болтами, гайками и прокладками входят в комплет поставки насоса</t>
  </si>
  <si>
    <t>Подключение</t>
  </si>
  <si>
    <t xml:space="preserve">Напряжение 400В для двигателей &lt; 4кВт и 400/690В для двиг.≥ 4 кВт </t>
  </si>
  <si>
    <t>(N)</t>
  </si>
  <si>
    <t>Стандартное исполнение - Класс изоляции двигателя F, защита IP 55. 2-х полюсный, 2900 оборотов в минуту, 50 Гц</t>
  </si>
  <si>
    <r>
      <rPr>
        <rFont val="Calibri"/>
        <b/>
        <color theme="1"/>
        <sz val="18.0"/>
      </rPr>
      <t xml:space="preserve">Моноблочные насосы инлайн - PT </t>
    </r>
    <r>
      <rPr>
        <rFont val="Calibri"/>
        <b/>
        <color theme="1"/>
        <sz val="14.0"/>
      </rPr>
      <t xml:space="preserve"> </t>
    </r>
  </si>
  <si>
    <t>PT</t>
  </si>
  <si>
    <t>m</t>
  </si>
  <si>
    <t>N</t>
  </si>
  <si>
    <t>PT 50-170/7 (N)</t>
  </si>
  <si>
    <t>50×50</t>
  </si>
  <si>
    <t>PT 50-220/11 (N)</t>
  </si>
  <si>
    <t>-</t>
  </si>
  <si>
    <t>PT 50-250/15 (N)</t>
  </si>
  <si>
    <t>PT 50-310/22 (N)</t>
  </si>
  <si>
    <t>PT 50-350/30 (N)</t>
  </si>
  <si>
    <t>PT 50-410/40 (N)</t>
  </si>
  <si>
    <t>PT 50-460/55 (N)</t>
  </si>
  <si>
    <t>PT 50-570/75 (N)</t>
  </si>
  <si>
    <t>PT 65-140/11 (N)</t>
  </si>
  <si>
    <t>65×65</t>
  </si>
  <si>
    <t>PT 65-180/15 (N)</t>
  </si>
  <si>
    <t>PT 65-240/22 (N)</t>
  </si>
  <si>
    <t>PT 65-310/30 (N)</t>
  </si>
  <si>
    <t>PT 65-380/40 (N)</t>
  </si>
  <si>
    <t>PT 65-320/55 (N)</t>
  </si>
  <si>
    <t>PT 65-400/75 (N)</t>
  </si>
  <si>
    <t>PT 80-190/40 (N)</t>
  </si>
  <si>
    <t>80×80</t>
  </si>
  <si>
    <t>PT 80-230/55 (N)</t>
  </si>
  <si>
    <t>PT 80-270/75 (N)</t>
  </si>
  <si>
    <t>PT 80-330/92 (N)</t>
  </si>
  <si>
    <t>PT 80-360/110 (N)</t>
  </si>
  <si>
    <t>PT 80-420/150 (N)</t>
  </si>
  <si>
    <t>PT 100-270/110 (N)</t>
  </si>
  <si>
    <t>100×100</t>
  </si>
  <si>
    <t>PT 100-320/150 (N)</t>
  </si>
  <si>
    <t>PT 100-390/185 (N)</t>
  </si>
  <si>
    <t>PT 100-480/220 (N)</t>
  </si>
  <si>
    <t>PT 100-600/300 (N)</t>
  </si>
  <si>
    <t>Напряжение 220В</t>
  </si>
  <si>
    <t xml:space="preserve">Центробежные инлайн насосы серии - PTD </t>
  </si>
  <si>
    <t>PTD</t>
  </si>
  <si>
    <t xml:space="preserve">старая </t>
  </si>
  <si>
    <t>НОВАЯ</t>
  </si>
  <si>
    <t>PS</t>
  </si>
  <si>
    <t>маркировка</t>
  </si>
  <si>
    <t>м (G)</t>
  </si>
  <si>
    <t>PTD32-14/2</t>
  </si>
  <si>
    <t>PTD32-14G/2</t>
  </si>
  <si>
    <t>32X32</t>
  </si>
  <si>
    <t>PTD32-18/2</t>
  </si>
  <si>
    <t>PTD32-18G/2</t>
  </si>
  <si>
    <t>32×32</t>
  </si>
  <si>
    <t>PTD32-21/2</t>
  </si>
  <si>
    <t>PTD32-21G/2</t>
  </si>
  <si>
    <t>PTD32-25/2</t>
  </si>
  <si>
    <t>PTD32-26G/2</t>
  </si>
  <si>
    <t>PTD32-32/2</t>
  </si>
  <si>
    <t>PTD32-33G/2</t>
  </si>
  <si>
    <t>PTD32-38/2</t>
  </si>
  <si>
    <t>PTD32-40G/2</t>
  </si>
  <si>
    <t>PTD32-50/2</t>
  </si>
  <si>
    <t>PTD32-50G/2</t>
  </si>
  <si>
    <t>PTD40-14/2</t>
  </si>
  <si>
    <t>PTD40-14G/2</t>
  </si>
  <si>
    <t>40×40</t>
  </si>
  <si>
    <t>PTD40-16/2</t>
  </si>
  <si>
    <t>PTD40-16G/2</t>
  </si>
  <si>
    <t>PTD40-20/2</t>
  </si>
  <si>
    <t>PTD40-21G/2</t>
  </si>
  <si>
    <r>
      <rPr>
        <rFont val="Calibri"/>
        <b/>
        <color theme="1"/>
        <sz val="11.0"/>
      </rPr>
      <t xml:space="preserve">PTD40-18/2, </t>
    </r>
    <r>
      <rPr>
        <rFont val="Calibri"/>
        <b/>
        <color rgb="FFDD0806"/>
        <sz val="11.0"/>
      </rPr>
      <t>(40-21/2)</t>
    </r>
  </si>
  <si>
    <t>PTD40-20G/2</t>
  </si>
  <si>
    <t>PTD40-25/2</t>
  </si>
  <si>
    <t>PTD40-26G/2</t>
  </si>
  <si>
    <t>PTD40-30/2</t>
  </si>
  <si>
    <t>PTD40-30G/2</t>
  </si>
  <si>
    <t>PTD40-36/2</t>
  </si>
  <si>
    <t>PTD40-36G/2</t>
  </si>
  <si>
    <t>PTD40-48/2</t>
  </si>
  <si>
    <t>PTD40-48G/2</t>
  </si>
  <si>
    <t>PTD50-12/2</t>
  </si>
  <si>
    <t>PTD50-12G/2</t>
  </si>
  <si>
    <t>PTD50-15/2</t>
  </si>
  <si>
    <t>PTD50-15G/2</t>
  </si>
  <si>
    <t>PTD50-18/2</t>
  </si>
  <si>
    <t>PTD50-18G/2</t>
  </si>
  <si>
    <t>PTD50-24/2</t>
  </si>
  <si>
    <t>PTD50-24G/2</t>
  </si>
  <si>
    <t>PTD50-28/2</t>
  </si>
  <si>
    <t>PTD50-28G/2</t>
  </si>
  <si>
    <t>PTD50-32/2</t>
  </si>
  <si>
    <t>PTD50-32G/2</t>
  </si>
  <si>
    <t>PTD50-35/2</t>
  </si>
  <si>
    <t>PTD50-35G/2</t>
  </si>
  <si>
    <t>PTD50-38/2</t>
  </si>
  <si>
    <t>PTD50-39G/2</t>
  </si>
  <si>
    <t>PTD50-40/2</t>
  </si>
  <si>
    <t>PTD50-40G/2</t>
  </si>
  <si>
    <t>PTD50-48/2</t>
  </si>
  <si>
    <t>PTD50-49G/2</t>
  </si>
  <si>
    <t>PTD50-50/2</t>
  </si>
  <si>
    <t>PTD50-50G/2</t>
  </si>
  <si>
    <t>PTD50-58/2</t>
  </si>
  <si>
    <t>PTD50-59G/2</t>
  </si>
  <si>
    <t>PTD50-60/2</t>
  </si>
  <si>
    <t>PTD50-60G/2</t>
  </si>
  <si>
    <t>PTD50-70/2</t>
  </si>
  <si>
    <t>PTD50-70G/2</t>
  </si>
  <si>
    <t>PTD50-80/2</t>
  </si>
  <si>
    <t>PTD50-80G/2</t>
  </si>
  <si>
    <t>PTD50-81/2</t>
  </si>
  <si>
    <t>PTD50-81G/2</t>
  </si>
  <si>
    <t>PTD65-15/2</t>
  </si>
  <si>
    <t>PTD65-15G/2</t>
  </si>
  <si>
    <t>PTD65-19/2</t>
  </si>
  <si>
    <t>PTD65-20G/2</t>
  </si>
  <si>
    <t>PTD65-22/2</t>
  </si>
  <si>
    <t>PTD65-22G/2</t>
  </si>
  <si>
    <t>PTD65-30/2</t>
  </si>
  <si>
    <t>PTD65-30G/2</t>
  </si>
  <si>
    <t>PTD65-34/2</t>
  </si>
  <si>
    <t>PTD65-34G/2</t>
  </si>
  <si>
    <t>PTD65-36/2</t>
  </si>
  <si>
    <t>PTD65-37G/2</t>
  </si>
  <si>
    <t>PTD65-40/2</t>
  </si>
  <si>
    <t>PTD65-41G/2</t>
  </si>
  <si>
    <t>PTD65-48/2</t>
  </si>
  <si>
    <t>PTD65-48G/2</t>
  </si>
  <si>
    <t>PTD65-50/2</t>
  </si>
  <si>
    <t>PTD65-51G/2</t>
  </si>
  <si>
    <t>PTD65-61/2</t>
  </si>
  <si>
    <t>PTD65-61G/2</t>
  </si>
  <si>
    <t>PTD65-67/2</t>
  </si>
  <si>
    <t>PTD65-68G/2</t>
  </si>
  <si>
    <t>PTD65-83/2</t>
  </si>
  <si>
    <t>PTD65-85G/2</t>
  </si>
  <si>
    <t>PTD80-13/2</t>
  </si>
  <si>
    <t>PTD80-13G/2</t>
  </si>
  <si>
    <t>PTD80-18/2</t>
  </si>
  <si>
    <t>PTD80-18G/2</t>
  </si>
  <si>
    <t>PTD80-22/2</t>
  </si>
  <si>
    <t>PTD80-23G/2</t>
  </si>
  <si>
    <t>PTD80-28/2</t>
  </si>
  <si>
    <t>PTD80-29G/2</t>
  </si>
  <si>
    <t>PTD80-30/2</t>
  </si>
  <si>
    <t>PTD80-32G/2</t>
  </si>
  <si>
    <t>PTD80-38/2</t>
  </si>
  <si>
    <t>PTD80-38G/2</t>
  </si>
  <si>
    <t>PTD80-40/2</t>
  </si>
  <si>
    <t>PTD80-41G/2</t>
  </si>
  <si>
    <t>PTD80-47/2</t>
  </si>
  <si>
    <t>PTD80-47G/2</t>
  </si>
  <si>
    <t>PTD80-48/2</t>
  </si>
  <si>
    <t>PTD80-48G/2</t>
  </si>
  <si>
    <t>PTD80-54/2</t>
  </si>
  <si>
    <t>PTD80-54G/2</t>
  </si>
  <si>
    <t>PTD80-67/2</t>
  </si>
  <si>
    <t>PTD80-67G/2</t>
  </si>
  <si>
    <t>PTD100-9/2</t>
  </si>
  <si>
    <t>PTD100-15/2</t>
  </si>
  <si>
    <t>PTD100-17/2</t>
  </si>
  <si>
    <t>PTD100-22/2</t>
  </si>
  <si>
    <t>PTD100-25/2</t>
  </si>
  <si>
    <t>PTD100-27/2</t>
  </si>
  <si>
    <t>PTD100-32/2</t>
  </si>
  <si>
    <t>PTD100-33/2</t>
  </si>
  <si>
    <t>PTD100-40/2</t>
  </si>
  <si>
    <t>PTD100-48/2</t>
  </si>
  <si>
    <t>PTD100-52/2</t>
  </si>
  <si>
    <t>PTD125-11/4</t>
  </si>
  <si>
    <t>125×125</t>
  </si>
  <si>
    <t>PTD125-14/4</t>
  </si>
  <si>
    <t>PTD125-18/4</t>
  </si>
  <si>
    <t>PTD125-20/4</t>
  </si>
  <si>
    <t>PTD125-22/4</t>
  </si>
  <si>
    <t>PTD125-28/4</t>
  </si>
  <si>
    <t>PTD125-32/4</t>
  </si>
  <si>
    <t>PTD125-40/4</t>
  </si>
  <si>
    <t>PTD125-48/4</t>
  </si>
  <si>
    <t>PTD125-50/4</t>
  </si>
  <si>
    <t>PTD150-12.5/4</t>
  </si>
  <si>
    <t>150×150</t>
  </si>
  <si>
    <t>PTD150-15/4</t>
  </si>
  <si>
    <t>PTD150-17/4</t>
  </si>
  <si>
    <t>PTD150-18/4</t>
  </si>
  <si>
    <t>PTD150-20/4</t>
  </si>
  <si>
    <t>PTD150-21/4</t>
  </si>
  <si>
    <t>PTD150-25/4</t>
  </si>
  <si>
    <t>PTD150-33/4</t>
  </si>
  <si>
    <t>PTD150-40/4</t>
  </si>
  <si>
    <t>PTD150-50/4</t>
  </si>
  <si>
    <t>PTD200-12.5/4</t>
  </si>
  <si>
    <t>200×200</t>
  </si>
  <si>
    <t>PTD200-15/4</t>
  </si>
  <si>
    <t>PTD200-18/4</t>
  </si>
  <si>
    <t>PTD200-20/4</t>
  </si>
  <si>
    <t>PTD200-23/4</t>
  </si>
  <si>
    <t>PTD200-24/4</t>
  </si>
  <si>
    <t>PTD200-27/4</t>
  </si>
  <si>
    <t>PTD200-30/4</t>
  </si>
  <si>
    <t>PTD200-31/4</t>
  </si>
  <si>
    <t>PTD200-32/4</t>
  </si>
  <si>
    <t>PTD200-35/4</t>
  </si>
  <si>
    <t>PTD200-36/4</t>
  </si>
  <si>
    <t>PTD200-43/4</t>
  </si>
  <si>
    <t>PTD200-44/4</t>
  </si>
  <si>
    <t>PTD200-47/4</t>
  </si>
  <si>
    <t>PTD200-50/4</t>
  </si>
  <si>
    <t>PTD200-53/4</t>
  </si>
  <si>
    <t>PTD250-12.5/4</t>
  </si>
  <si>
    <t>250×250</t>
  </si>
  <si>
    <t>PTD250-14/4</t>
  </si>
  <si>
    <t>PTD250-15/4</t>
  </si>
  <si>
    <t>PTD250-16/4</t>
  </si>
  <si>
    <t>PTD250-17/4</t>
  </si>
  <si>
    <t>PTD250-18/4</t>
  </si>
  <si>
    <t>PTD250-19/4</t>
  </si>
  <si>
    <t>PTD250-20/4</t>
  </si>
  <si>
    <t>PTD250-21/4</t>
  </si>
  <si>
    <t>PTD250-22/4</t>
  </si>
  <si>
    <t>PTD250-26/4</t>
  </si>
  <si>
    <t>PTD250-27/4</t>
  </si>
  <si>
    <t>PTD250-29/4</t>
  </si>
  <si>
    <t>PTD250-32/4</t>
  </si>
  <si>
    <t>PTD250-36/4</t>
  </si>
  <si>
    <t>PTD250-40/4</t>
  </si>
  <si>
    <t>PTD250-44/4</t>
  </si>
  <si>
    <t>PTD250-47/4</t>
  </si>
  <si>
    <t>PTD250-50/4</t>
  </si>
  <si>
    <t>PTD250-53/4</t>
  </si>
  <si>
    <t>PTD250-56/4</t>
  </si>
  <si>
    <t>PTD300-15/4</t>
  </si>
  <si>
    <t>300×300</t>
  </si>
  <si>
    <t>PTD300-20/4</t>
  </si>
  <si>
    <t>PTD300-25/4</t>
  </si>
  <si>
    <t>PTD300-30/4</t>
  </si>
  <si>
    <t>PTD300-35/4</t>
  </si>
  <si>
    <t>PTD300-44/4</t>
  </si>
  <si>
    <t>PTD300-55/4</t>
  </si>
  <si>
    <t>Электрофорезное антикоррозийное покрытие чугуна</t>
  </si>
  <si>
    <t>Нержавеющая сталь - 304</t>
  </si>
  <si>
    <t>Не входят в комплект</t>
  </si>
  <si>
    <t>G</t>
  </si>
  <si>
    <t>Новая модификация</t>
  </si>
  <si>
    <r>
      <rPr>
        <rFont val="Calibri"/>
        <b/>
        <color theme="1"/>
        <sz val="18.0"/>
      </rPr>
      <t>Консольные насосы серии - PS</t>
    </r>
    <r>
      <rPr>
        <rFont val="Calibri"/>
        <b/>
        <color theme="1"/>
        <sz val="14.0"/>
      </rPr>
      <t xml:space="preserve"> (голый вал), </t>
    </r>
    <r>
      <rPr>
        <rFont val="Calibri"/>
        <b/>
        <color theme="1"/>
        <sz val="18.0"/>
      </rPr>
      <t>PSM</t>
    </r>
    <r>
      <rPr>
        <rFont val="Calibri"/>
        <b/>
        <color theme="1"/>
        <sz val="14.0"/>
      </rPr>
      <t xml:space="preserve"> (на раме с двигателем)</t>
    </r>
  </si>
  <si>
    <t>PSM</t>
  </si>
  <si>
    <t>PS 32-160/15</t>
  </si>
  <si>
    <t>50x32</t>
  </si>
  <si>
    <t>Нерж.304</t>
  </si>
  <si>
    <t>PS 32-160/22</t>
  </si>
  <si>
    <t>PS 32-160/30</t>
  </si>
  <si>
    <t>PS 32-200/30</t>
  </si>
  <si>
    <t>PS 32-200/40</t>
  </si>
  <si>
    <t>PS 32-250/55</t>
  </si>
  <si>
    <t>PS 32-250/75</t>
  </si>
  <si>
    <t>PS 32-250/92</t>
  </si>
  <si>
    <t>PS 32-250/110</t>
  </si>
  <si>
    <t>PS 32-250/150</t>
  </si>
  <si>
    <t>PS 40-160/30</t>
  </si>
  <si>
    <t>65x40</t>
  </si>
  <si>
    <t>PS 40-160/40</t>
  </si>
  <si>
    <t>PS 40-200/55</t>
  </si>
  <si>
    <t>PS 40-200/75</t>
  </si>
  <si>
    <t>PS 40-250/92</t>
  </si>
  <si>
    <t>PS 40-250/110</t>
  </si>
  <si>
    <t>PS 40-250/150</t>
  </si>
  <si>
    <t>PS 40-250/185</t>
  </si>
  <si>
    <t>PS 40-315/185</t>
  </si>
  <si>
    <t>PS 40-315/220</t>
  </si>
  <si>
    <t>PS 40-315/300</t>
  </si>
  <si>
    <t>PS 40-315/370</t>
  </si>
  <si>
    <t>PS 40-315/450</t>
  </si>
  <si>
    <t>PS 50-125/22</t>
  </si>
  <si>
    <t>65x50</t>
  </si>
  <si>
    <t>PS 50-125/30</t>
  </si>
  <si>
    <t>PS 50-125/40</t>
  </si>
  <si>
    <t>PS 50-160/55</t>
  </si>
  <si>
    <t>PS 50-160/75</t>
  </si>
  <si>
    <t>PS 50-200/92</t>
  </si>
  <si>
    <t>PS 50-200/110</t>
  </si>
  <si>
    <t>PS 50-200/150</t>
  </si>
  <si>
    <t>PS 50-250/150</t>
  </si>
  <si>
    <t>PS 50-250/185</t>
  </si>
  <si>
    <t>PS 50-250/220</t>
  </si>
  <si>
    <t>PS 50-250/300</t>
  </si>
  <si>
    <t>PS 50-315/300</t>
  </si>
  <si>
    <t>PS 50-315/370</t>
  </si>
  <si>
    <t>PS 50-315/450</t>
  </si>
  <si>
    <t>PS 50-315/550</t>
  </si>
  <si>
    <t>PS 50-315/750</t>
  </si>
  <si>
    <t>PS 65-125/40</t>
  </si>
  <si>
    <t>80x65</t>
  </si>
  <si>
    <t>PS 65-125/55</t>
  </si>
  <si>
    <t>PS 65-125/75</t>
  </si>
  <si>
    <t>PS 65-160/92</t>
  </si>
  <si>
    <t>PS 65-160/110</t>
  </si>
  <si>
    <t>PS 65-160/150</t>
  </si>
  <si>
    <t>PS 65-200/150</t>
  </si>
  <si>
    <t>PS 65-200/185</t>
  </si>
  <si>
    <t>PS 65-200/220</t>
  </si>
  <si>
    <t>PS 65-250/220</t>
  </si>
  <si>
    <t>PS 65-250/300</t>
  </si>
  <si>
    <t>PS 65-250/370</t>
  </si>
  <si>
    <t>PS 65-315/450</t>
  </si>
  <si>
    <t>PS 65-315/550</t>
  </si>
  <si>
    <t>PS 65-315/750</t>
  </si>
  <si>
    <t>PS 65-315/900</t>
  </si>
  <si>
    <t>PS 80-125/40</t>
  </si>
  <si>
    <t>100x80</t>
  </si>
  <si>
    <t>PS 80-125/55</t>
  </si>
  <si>
    <t>PS 80-125/75</t>
  </si>
  <si>
    <t>PS 80-160/110</t>
  </si>
  <si>
    <t>PS 80-160/150</t>
  </si>
  <si>
    <t>PS 80-160/185</t>
  </si>
  <si>
    <t>PS 80-160/220</t>
  </si>
  <si>
    <t>PS 80-200/220</t>
  </si>
  <si>
    <t>PS 80-200/300</t>
  </si>
  <si>
    <t>PS 80-250/370</t>
  </si>
  <si>
    <t>PS 80-250/450</t>
  </si>
  <si>
    <t>PS 80-250/550</t>
  </si>
  <si>
    <t>PS 80-250/750</t>
  </si>
  <si>
    <t>PS 80-315/450</t>
  </si>
  <si>
    <t>PS 80-315/550</t>
  </si>
  <si>
    <t>PS 80-315/750</t>
  </si>
  <si>
    <t>PS 80-315/900</t>
  </si>
  <si>
    <t>PS 80-315/1100</t>
  </si>
  <si>
    <t>PS 100-160/150</t>
  </si>
  <si>
    <t>125x100</t>
  </si>
  <si>
    <t>PS 100-160/185</t>
  </si>
  <si>
    <t>PS 100-160/220</t>
  </si>
  <si>
    <t>PS 100-200/220</t>
  </si>
  <si>
    <t>PS 100-200/300</t>
  </si>
  <si>
    <t>PS 100-200/370</t>
  </si>
  <si>
    <t>PS 100-200/450</t>
  </si>
  <si>
    <t>PS 100-250/450</t>
  </si>
  <si>
    <t>PS 100-250/550</t>
  </si>
  <si>
    <t>PS 100-250/750</t>
  </si>
  <si>
    <t>PS 100-250/900</t>
  </si>
  <si>
    <t>PS 100-315/750</t>
  </si>
  <si>
    <t>PS 100-315/900</t>
  </si>
  <si>
    <t>PS 100-315/1100</t>
  </si>
  <si>
    <t>PS 100-315/1320</t>
  </si>
  <si>
    <t>PS 100-315/1600</t>
  </si>
  <si>
    <t>PS 125-200/450</t>
  </si>
  <si>
    <t>150x125</t>
  </si>
  <si>
    <t>PS 125-200/550</t>
  </si>
  <si>
    <t>PS 125-200/750</t>
  </si>
  <si>
    <t>PS 125-250/550</t>
  </si>
  <si>
    <t>PS 125-250/750</t>
  </si>
  <si>
    <t>PS 125-250/900</t>
  </si>
  <si>
    <t>PS 125-250/1100</t>
  </si>
  <si>
    <t>PS 125-250H/900</t>
  </si>
  <si>
    <t>PS 125-250H/1100</t>
  </si>
  <si>
    <t>PS 125-250H/1320</t>
  </si>
  <si>
    <t>PS 125-250H/1600</t>
  </si>
  <si>
    <t>PS 125-315/1320</t>
  </si>
  <si>
    <t>PS 125-315/1600</t>
  </si>
  <si>
    <t>PS 125-315/1850</t>
  </si>
  <si>
    <t>PS 125-315/2000</t>
  </si>
  <si>
    <t>PS 150-200/750</t>
  </si>
  <si>
    <t>200x150</t>
  </si>
  <si>
    <t>PS 150-200/900</t>
  </si>
  <si>
    <t>PS 150-200/1100</t>
  </si>
  <si>
    <t>PS 150-200/1320</t>
  </si>
  <si>
    <t>PS 150-200/1600</t>
  </si>
  <si>
    <t>PS 150-250/1100</t>
  </si>
  <si>
    <t>PS 150-250/1320</t>
  </si>
  <si>
    <t>PS 150-250/1600</t>
  </si>
  <si>
    <t>PS 150-250/2000</t>
  </si>
  <si>
    <t>PS 150-315/1850</t>
  </si>
  <si>
    <t>PS 150-315/2500</t>
  </si>
  <si>
    <t>PS 150-315/2800</t>
  </si>
  <si>
    <t>PS 150-315/3150</t>
  </si>
  <si>
    <t>PS4 65-160/11</t>
  </si>
  <si>
    <t>PS4 65-160/15</t>
  </si>
  <si>
    <t>PS4 65-160/22</t>
  </si>
  <si>
    <t>PS4 65-200/15</t>
  </si>
  <si>
    <t>PS4 65-200/22</t>
  </si>
  <si>
    <t>PS4 65-200/30</t>
  </si>
  <si>
    <t>PS4 65-250/30</t>
  </si>
  <si>
    <t>PS4 65-250/40</t>
  </si>
  <si>
    <t>PS4 65-250/55</t>
  </si>
  <si>
    <t>PS4 65-315/40</t>
  </si>
  <si>
    <t>PS4 65-315/55</t>
  </si>
  <si>
    <t>PS4 65-315/75</t>
  </si>
  <si>
    <t>PS4 65-315/110</t>
  </si>
  <si>
    <t>PS4 65-315/150</t>
  </si>
  <si>
    <t>PS4 80-160/15</t>
  </si>
  <si>
    <t>PS4 80-160/22</t>
  </si>
  <si>
    <t>PS4 80-200/30</t>
  </si>
  <si>
    <t>PS4 80-200/40</t>
  </si>
  <si>
    <t>PS4 80-250/40</t>
  </si>
  <si>
    <t>PS4 80-250/55</t>
  </si>
  <si>
    <t>PS4 80-250/75</t>
  </si>
  <si>
    <t>PS4 80-250/110</t>
  </si>
  <si>
    <t>PS4 80-315/55</t>
  </si>
  <si>
    <t>PS4 80-315/75</t>
  </si>
  <si>
    <t>PS4 80-315/110</t>
  </si>
  <si>
    <t>PS4 80-315/150</t>
  </si>
  <si>
    <t>PS4 80-400/185</t>
  </si>
  <si>
    <t>PS4 80-400/220</t>
  </si>
  <si>
    <t>PS4 80-400/300</t>
  </si>
  <si>
    <t>PS4 80-400/370</t>
  </si>
  <si>
    <t>PS4 100-160/22</t>
  </si>
  <si>
    <t>PS4 100-160/30</t>
  </si>
  <si>
    <t>PS4 100-160/40</t>
  </si>
  <si>
    <t>PS4 100-200/40</t>
  </si>
  <si>
    <t>PS4 100-200/55</t>
  </si>
  <si>
    <t>PS4 100-200/75</t>
  </si>
  <si>
    <t>PS4 100-200/92</t>
  </si>
  <si>
    <t>PS4 100-250/55</t>
  </si>
  <si>
    <t>PS4 100-250/75</t>
  </si>
  <si>
    <t>PS4 100-250/110</t>
  </si>
  <si>
    <t>PS4 100-250/150</t>
  </si>
  <si>
    <t>PS4 100-315/150</t>
  </si>
  <si>
    <t>PS4 100-315/185</t>
  </si>
  <si>
    <t>PS4 100-315/220</t>
  </si>
  <si>
    <t>PS4 100-315/300</t>
  </si>
  <si>
    <t>PS4 100-400/300</t>
  </si>
  <si>
    <t>PS4 100-400/370</t>
  </si>
  <si>
    <t>PS4 100-400/450</t>
  </si>
  <si>
    <t>PS4 100-400/550</t>
  </si>
  <si>
    <t>PS4 125-200/55</t>
  </si>
  <si>
    <t>PS4 125-200/75</t>
  </si>
  <si>
    <t>PS4 125-200/110</t>
  </si>
  <si>
    <t>PS4 125-250/75</t>
  </si>
  <si>
    <t>PS4 125-250/110</t>
  </si>
  <si>
    <t>PS4 125-250/150</t>
  </si>
  <si>
    <t>PS4 125-250/185</t>
  </si>
  <si>
    <t>PS4 125-315/185</t>
  </si>
  <si>
    <t>PS4 125-315/220</t>
  </si>
  <si>
    <t>PS4 125-315/300</t>
  </si>
  <si>
    <t>PS4 125-315/370</t>
  </si>
  <si>
    <t>PS4 125-400/300</t>
  </si>
  <si>
    <t>PS4 125-400/370</t>
  </si>
  <si>
    <t>PS4 125-400/450</t>
  </si>
  <si>
    <t>PS4 125-400/550</t>
  </si>
  <si>
    <t>PS4 125-400/750</t>
  </si>
  <si>
    <t>PS4 125-400/900</t>
  </si>
  <si>
    <t>PS4 150-200/110</t>
  </si>
  <si>
    <t>PS4 150-200/150</t>
  </si>
  <si>
    <t>PS4 150-200/185</t>
  </si>
  <si>
    <t>PS4 150-200/220</t>
  </si>
  <si>
    <t>PS4 150-250/150</t>
  </si>
  <si>
    <t>PS4 150-250/185</t>
  </si>
  <si>
    <t>PS4 150-250/220</t>
  </si>
  <si>
    <t>PS4 150-250/300</t>
  </si>
  <si>
    <t>PS4 150-315/300</t>
  </si>
  <si>
    <t>PS4 150-315/370</t>
  </si>
  <si>
    <t>PS4 150-315/450</t>
  </si>
  <si>
    <t>PS4 150-315/550</t>
  </si>
  <si>
    <t>PS4 150-315/750</t>
  </si>
  <si>
    <t>PS4 150-400/550</t>
  </si>
  <si>
    <t>PS4 150-400/750</t>
  </si>
  <si>
    <t>PS4 150-400/900</t>
  </si>
  <si>
    <t>PS4 150-400/1100</t>
  </si>
  <si>
    <t>PS4 150-400/1320</t>
  </si>
  <si>
    <t>PS4 200-250/370</t>
  </si>
  <si>
    <t>250x200</t>
  </si>
  <si>
    <t>PS4 200-250/450</t>
  </si>
  <si>
    <t>PS4 200-250/550</t>
  </si>
  <si>
    <t>PS4 200-315/550</t>
  </si>
  <si>
    <t>PS4 200-315/750</t>
  </si>
  <si>
    <t>PS4 200-315/900</t>
  </si>
  <si>
    <t>PS4 200-400/750</t>
  </si>
  <si>
    <t>PS4 200-400/900</t>
  </si>
  <si>
    <t>PS4 200-400/1100</t>
  </si>
  <si>
    <t>PS4 200-400/1320</t>
  </si>
  <si>
    <t>PS4 250-315/900</t>
  </si>
  <si>
    <t>300x250</t>
  </si>
  <si>
    <t>PS4 250-315/1100</t>
  </si>
  <si>
    <t>PS4 250-315/1320</t>
  </si>
  <si>
    <t>PS4 250-315/1600</t>
  </si>
  <si>
    <t>PS4 250-400/1600</t>
  </si>
  <si>
    <t>PS4 250-400/1850</t>
  </si>
  <si>
    <t>PS4 250-400/2000</t>
  </si>
  <si>
    <t>PS4 250-400/2200</t>
  </si>
  <si>
    <t>PS4 250-400/2500</t>
  </si>
  <si>
    <t>Ответный фланец не входит в стоимость</t>
  </si>
  <si>
    <t>Мотор</t>
  </si>
  <si>
    <t>Класс изоляции F, защита IP 55. 2-х полюсный, 2900 оборотов в минуту, 50 Гц</t>
  </si>
  <si>
    <t>Вертикальные многоступенчатые насосы - PVS (PVT)</t>
  </si>
  <si>
    <t>PVT             PVS</t>
  </si>
  <si>
    <t>PVT</t>
  </si>
  <si>
    <t>PVS</t>
  </si>
  <si>
    <t>PVT/S 1-2</t>
  </si>
  <si>
    <t>25x25</t>
  </si>
  <si>
    <t>PVT/S 1-3</t>
  </si>
  <si>
    <t>PVT/S 1-4</t>
  </si>
  <si>
    <t>PVT/S 1-5</t>
  </si>
  <si>
    <t>PVT/S 1-6</t>
  </si>
  <si>
    <t>PVT/S 1-7</t>
  </si>
  <si>
    <t>PVT/S 1-8</t>
  </si>
  <si>
    <t>PVT/S 1-9</t>
  </si>
  <si>
    <t>PVT/S 1-10</t>
  </si>
  <si>
    <t>PVT/S 1-11</t>
  </si>
  <si>
    <t>PVT/S 1-12</t>
  </si>
  <si>
    <t>PVT/S 1-13</t>
  </si>
  <si>
    <t>PVT/S 1-15</t>
  </si>
  <si>
    <t>PVT/S 1-17</t>
  </si>
  <si>
    <t>PVT/S 1-19</t>
  </si>
  <si>
    <t>PVT/S 1-21</t>
  </si>
  <si>
    <t>PVT/S 1-23</t>
  </si>
  <si>
    <t>PVT/S 1-25</t>
  </si>
  <si>
    <t>PVT/S 1-27</t>
  </si>
  <si>
    <t>PVT/S 1-30</t>
  </si>
  <si>
    <t>PVT/S 1-33</t>
  </si>
  <si>
    <t>PVT/S 1-36</t>
  </si>
  <si>
    <t>PVT/S 2-2</t>
  </si>
  <si>
    <t>PVT/S 2-3</t>
  </si>
  <si>
    <t>PVT/S 2-4</t>
  </si>
  <si>
    <t>PVT/S 2-5</t>
  </si>
  <si>
    <t>PVT/S 2-6</t>
  </si>
  <si>
    <t>PVT/S 2-7</t>
  </si>
  <si>
    <t>PVT/S 2-9</t>
  </si>
  <si>
    <t>PVT/S 2-11</t>
  </si>
  <si>
    <t>PVT/S 2-13</t>
  </si>
  <si>
    <t>PVT/S 2-15</t>
  </si>
  <si>
    <t>PVT/S 2-18</t>
  </si>
  <si>
    <t>PVT/S 2-22</t>
  </si>
  <si>
    <t>PVT/S 2-26</t>
  </si>
  <si>
    <t>PVT/S 3-2</t>
  </si>
  <si>
    <t>PVT/S 3-3</t>
  </si>
  <si>
    <t>PVT/S 3-4</t>
  </si>
  <si>
    <t>PVT/S 3-5</t>
  </si>
  <si>
    <t>PVT/S 3-6</t>
  </si>
  <si>
    <t>PVT/S 3-7</t>
  </si>
  <si>
    <t>PVT/S 3-8</t>
  </si>
  <si>
    <t>PVT/S 3-9</t>
  </si>
  <si>
    <t>PVT/S 3-10</t>
  </si>
  <si>
    <t>PVT/S 3-11</t>
  </si>
  <si>
    <t>PVT/S 3-12</t>
  </si>
  <si>
    <t>PVT/S 3-13</t>
  </si>
  <si>
    <t>PVT/S 3-15</t>
  </si>
  <si>
    <t>PVT/S 3-17</t>
  </si>
  <si>
    <t>PVT/S 3-19</t>
  </si>
  <si>
    <t>PVT/S 3-21</t>
  </si>
  <si>
    <t>PVT/S 3-23</t>
  </si>
  <si>
    <t>PVT/S 3-25</t>
  </si>
  <si>
    <t>PVT/S 3-27</t>
  </si>
  <si>
    <t>PVT/S 3-29</t>
  </si>
  <si>
    <t>PVT/S 3-31</t>
  </si>
  <si>
    <t>PVT/S 3-33</t>
  </si>
  <si>
    <t>PVT/S 3-36</t>
  </si>
  <si>
    <t>PVT/S 4-2</t>
  </si>
  <si>
    <t>32x32</t>
  </si>
  <si>
    <t>PVT/S 4-3</t>
  </si>
  <si>
    <t>PVT/S 4-4</t>
  </si>
  <si>
    <t>PVT/S 4-5</t>
  </si>
  <si>
    <t>PVT/S 4-6</t>
  </si>
  <si>
    <t>PVT/S 4-7</t>
  </si>
  <si>
    <t>PVT/S 4-8</t>
  </si>
  <si>
    <t>PVT/S 4-10</t>
  </si>
  <si>
    <t>PVT/S 4-12</t>
  </si>
  <si>
    <t>PVT/S 4-14</t>
  </si>
  <si>
    <t>PVT/S 4-16</t>
  </si>
  <si>
    <t>PVT/S 4-19</t>
  </si>
  <si>
    <t>PVT/S 4-22</t>
  </si>
  <si>
    <t>PVT/S 8-2-1</t>
  </si>
  <si>
    <t>40x40</t>
  </si>
  <si>
    <t>PVT/S 8-2</t>
  </si>
  <si>
    <t>PVT/S 8-3</t>
  </si>
  <si>
    <t>PVT/S 8-4</t>
  </si>
  <si>
    <t>PVT/S 8-5</t>
  </si>
  <si>
    <t>PVT/S 8-6</t>
  </si>
  <si>
    <t>PVT/S 8-8</t>
  </si>
  <si>
    <t>PVT/S 8-10</t>
  </si>
  <si>
    <t>PVT/S 8-12</t>
  </si>
  <si>
    <t>PVT/S 8-14</t>
  </si>
  <si>
    <t>PVT/S 8-16</t>
  </si>
  <si>
    <t>PVT/S 8-18</t>
  </si>
  <si>
    <t>PVT/S 8-20</t>
  </si>
  <si>
    <t>PVT/S 10-1</t>
  </si>
  <si>
    <t>PVT/S 10-2</t>
  </si>
  <si>
    <t>PVT/S 10-3</t>
  </si>
  <si>
    <t>PVT/S 10-4</t>
  </si>
  <si>
    <t>PVT/S 10-5</t>
  </si>
  <si>
    <t>PVT/S 10-6</t>
  </si>
  <si>
    <t>PVT/S 10-7</t>
  </si>
  <si>
    <t>PVT/S 10-8</t>
  </si>
  <si>
    <t>PVT/S 10-9</t>
  </si>
  <si>
    <t>PVT/S 10-10</t>
  </si>
  <si>
    <t>PVT/S 10-12</t>
  </si>
  <si>
    <t>PVT/S 10-14</t>
  </si>
  <si>
    <t>PVT/S 10-16</t>
  </si>
  <si>
    <t>PVT/S 10-18</t>
  </si>
  <si>
    <t>PVT/S 10-20</t>
  </si>
  <si>
    <t>PVT/S 10-22</t>
  </si>
  <si>
    <t>PVT/S 12-2</t>
  </si>
  <si>
    <t>50x50</t>
  </si>
  <si>
    <t>PVT/S 12-3</t>
  </si>
  <si>
    <t>PVT/S 12-4</t>
  </si>
  <si>
    <t>PVT/S 12-5</t>
  </si>
  <si>
    <t>PVT/S 12-6</t>
  </si>
  <si>
    <t>PVT/S 12-7</t>
  </si>
  <si>
    <t>PVT/S 12-8</t>
  </si>
  <si>
    <t>PVT/S 12-9</t>
  </si>
  <si>
    <t>PVT/S 12-10</t>
  </si>
  <si>
    <t>PVT/S 12-12</t>
  </si>
  <si>
    <t>PVT/S 12-14</t>
  </si>
  <si>
    <t>PVT/S 12-16</t>
  </si>
  <si>
    <t>PVT/S 12-18</t>
  </si>
  <si>
    <t>PVT/S 16-2</t>
  </si>
  <si>
    <t>PVT/S 16-3</t>
  </si>
  <si>
    <t>PVT/S 16-4</t>
  </si>
  <si>
    <t>PVT/S 16-5</t>
  </si>
  <si>
    <t>PVT/S 16-6</t>
  </si>
  <si>
    <t>PVT/S 16-7</t>
  </si>
  <si>
    <t>PVT/S 16-8</t>
  </si>
  <si>
    <t>PVT/S 16-10</t>
  </si>
  <si>
    <t>PVT/S 16-12</t>
  </si>
  <si>
    <t>PVT/S 16-14</t>
  </si>
  <si>
    <t>PVT/S 16-16</t>
  </si>
  <si>
    <t>PVT/S 20-1</t>
  </si>
  <si>
    <t>PVT/S 20-2</t>
  </si>
  <si>
    <t>PVT/S 20-3</t>
  </si>
  <si>
    <t>PVT/S 20-4</t>
  </si>
  <si>
    <t>PVT/S 20-5</t>
  </si>
  <si>
    <t>PVT/S 20-6</t>
  </si>
  <si>
    <t>PVT/S 20-7</t>
  </si>
  <si>
    <t>PVT/S 20-8</t>
  </si>
  <si>
    <t>PVT/S 20-10</t>
  </si>
  <si>
    <t>PVT/S 20-12</t>
  </si>
  <si>
    <t>PVT/S 20-14</t>
  </si>
  <si>
    <t>PVT/S 20-17</t>
  </si>
  <si>
    <t>PVT/S 32-10-1</t>
  </si>
  <si>
    <t>65x65</t>
  </si>
  <si>
    <t>PVT/S 32-10</t>
  </si>
  <si>
    <t>PVT/S 32-20-2</t>
  </si>
  <si>
    <t>PVT/S 32-20</t>
  </si>
  <si>
    <t>PVT/S 32-30-2</t>
  </si>
  <si>
    <t>PVT/S 32-30</t>
  </si>
  <si>
    <t>PVT/S 32-40-2</t>
  </si>
  <si>
    <t>PVT/S 32-40</t>
  </si>
  <si>
    <t>PVT/S 32-50-2</t>
  </si>
  <si>
    <t>PVT/S 32-50</t>
  </si>
  <si>
    <t>PVT/S 32-60-2</t>
  </si>
  <si>
    <t>PVT/S 32-60</t>
  </si>
  <si>
    <t>PVT/S 32-70-2</t>
  </si>
  <si>
    <t>PVT/S 32-70</t>
  </si>
  <si>
    <t>PVT/S 32-80-2</t>
  </si>
  <si>
    <t>PVT/S 32-80</t>
  </si>
  <si>
    <t>PVT/S 32-90-2</t>
  </si>
  <si>
    <t>PVT/S 32-90</t>
  </si>
  <si>
    <t>PVT/S 32-100-2</t>
  </si>
  <si>
    <t>PVT/S 32-100</t>
  </si>
  <si>
    <t>PVT/S 32-110-2</t>
  </si>
  <si>
    <t>PVT/S 32-110</t>
  </si>
  <si>
    <t>PVT/S 32-120-2</t>
  </si>
  <si>
    <t>PVT/S 32-120</t>
  </si>
  <si>
    <t>PVT/S 32-130-2</t>
  </si>
  <si>
    <t>PVT/S 32-130</t>
  </si>
  <si>
    <t>PVT/S 32-140-2</t>
  </si>
  <si>
    <t>PVT/S 32-140</t>
  </si>
  <si>
    <t>PVT/S 32-150-2</t>
  </si>
  <si>
    <t>PVT/S 32-150</t>
  </si>
  <si>
    <t>PVT/S 32-160-2</t>
  </si>
  <si>
    <t>PVT/S 32-160</t>
  </si>
  <si>
    <t>PVT/S 45-10-1</t>
  </si>
  <si>
    <t>80x80</t>
  </si>
  <si>
    <t>PVT/S 45-10</t>
  </si>
  <si>
    <t>PVT/S 45-20-2</t>
  </si>
  <si>
    <t>PVT/S 45-20</t>
  </si>
  <si>
    <t>PVT/S 45-30-2</t>
  </si>
  <si>
    <t>PVT/S 45-30</t>
  </si>
  <si>
    <t>PVT/S 45-40-2</t>
  </si>
  <si>
    <t>PVT/S 45-40</t>
  </si>
  <si>
    <t>PVT/S 45-50-2</t>
  </si>
  <si>
    <t>PVT/S 45-50</t>
  </si>
  <si>
    <t>PVT/S 45-60-2</t>
  </si>
  <si>
    <t>PVT/S 45-60</t>
  </si>
  <si>
    <t>PVT/S 45-70-2</t>
  </si>
  <si>
    <t>PVT/S 45-70</t>
  </si>
  <si>
    <t>PVT/S 45-80-2</t>
  </si>
  <si>
    <t>PVT/S 45-80</t>
  </si>
  <si>
    <t>PVT/S 45-90-2</t>
  </si>
  <si>
    <t>PVT/S 45-90</t>
  </si>
  <si>
    <t>PVT/S 45-100-2</t>
  </si>
  <si>
    <t>PVT/S 45-100</t>
  </si>
  <si>
    <t>PVT/S 45-110-2</t>
  </si>
  <si>
    <t>PVT/S 45-110</t>
  </si>
  <si>
    <t>PVT/S 45-120-2</t>
  </si>
  <si>
    <t>PVT/S 45-120</t>
  </si>
  <si>
    <t>PVT/S 45-130-2</t>
  </si>
  <si>
    <t>PVT/S 64-10-1</t>
  </si>
  <si>
    <t>100x100</t>
  </si>
  <si>
    <t>PVT/S 64-10</t>
  </si>
  <si>
    <t>PVT/S 64-20-2</t>
  </si>
  <si>
    <t>PVT/S 64-20-1</t>
  </si>
  <si>
    <t>PVT/S 64-20</t>
  </si>
  <si>
    <t>PVT/S 64-30-2</t>
  </si>
  <si>
    <t>PVT/S 64-30-1</t>
  </si>
  <si>
    <t>PVT/S 64-30</t>
  </si>
  <si>
    <t>PVT/S 64-40-2</t>
  </si>
  <si>
    <t>PVT/S 64-40-1</t>
  </si>
  <si>
    <t>PVT/S 64-40</t>
  </si>
  <si>
    <t>PVT/S 64-50-2</t>
  </si>
  <si>
    <t>PVT/S 64-50-1</t>
  </si>
  <si>
    <t>PVT/S 64-50</t>
  </si>
  <si>
    <t>PVT/S 64-60-2</t>
  </si>
  <si>
    <t>PVT/S 64-60-1</t>
  </si>
  <si>
    <t>PVT/S 64-60</t>
  </si>
  <si>
    <t>PVT/S 64-70-2</t>
  </si>
  <si>
    <t>PVT/S 64-70-1</t>
  </si>
  <si>
    <t>PVT/S 64-70</t>
  </si>
  <si>
    <t>PVT/S 64-80-2</t>
  </si>
  <si>
    <t>PVT/S 64-80-1</t>
  </si>
  <si>
    <t>PVT/S 90-10-1</t>
  </si>
  <si>
    <t>PVT/S 90-10</t>
  </si>
  <si>
    <t>PVT/S 90-20-2</t>
  </si>
  <si>
    <t>PVT/S 90-20</t>
  </si>
  <si>
    <t>PVT/S 90-30-2</t>
  </si>
  <si>
    <t>PVT/S 90-30</t>
  </si>
  <si>
    <t>PVT/S 90-40-2</t>
  </si>
  <si>
    <t>PVT/S 90-40</t>
  </si>
  <si>
    <t>PVT/S 90-50-2</t>
  </si>
  <si>
    <t>PVT/S 90-50</t>
  </si>
  <si>
    <t>PVT/S 90-60-2</t>
  </si>
  <si>
    <t>PVT/S 90-60</t>
  </si>
  <si>
    <t>Серия насосов PVS</t>
  </si>
  <si>
    <t>Все детали насоса соприкасающиеся с водой из нерж. стали 304</t>
  </si>
  <si>
    <t>Серия насосов PVT</t>
  </si>
  <si>
    <t>Основание и верхняя крышка насоса - чугун, корпус нерж.сталь - 304;</t>
  </si>
  <si>
    <t>Механическое уплотнение</t>
  </si>
  <si>
    <t>Фланцы с болтами, гайками и прокладками входят в комплет поставки насоса</t>
  </si>
  <si>
    <t xml:space="preserve">Мотор </t>
  </si>
  <si>
    <t xml:space="preserve">Моноблочные насосы из нержавеющей стали - PZ </t>
  </si>
  <si>
    <t>PZ</t>
  </si>
  <si>
    <t>PZ 32-160/11</t>
  </si>
  <si>
    <t>PZ 32-160/15</t>
  </si>
  <si>
    <t>PZ 32-160/22</t>
  </si>
  <si>
    <t>PZ 32-200/30</t>
  </si>
  <si>
    <t>PZ 32-200/40</t>
  </si>
  <si>
    <t>PZ 32-200/55</t>
  </si>
  <si>
    <t>PZ 40-125/15</t>
  </si>
  <si>
    <t>PZ 40-125/22</t>
  </si>
  <si>
    <t>PZ 40-160/30</t>
  </si>
  <si>
    <t>PZ 40-160/40</t>
  </si>
  <si>
    <t>PZ 40-200/55</t>
  </si>
  <si>
    <t>PZ 40-200/75</t>
  </si>
  <si>
    <t>PZ 40-200/110</t>
  </si>
  <si>
    <t>PZ 50-125/22</t>
  </si>
  <si>
    <t>PZ 50-125/30</t>
  </si>
  <si>
    <t>PZ 50-125/40</t>
  </si>
  <si>
    <t>PZ 50-160/55</t>
  </si>
  <si>
    <t>PZ 50-160/75</t>
  </si>
  <si>
    <t>PZ 50-200/92</t>
  </si>
  <si>
    <t>PZ 50-200/110</t>
  </si>
  <si>
    <t>PZ 50-200/150</t>
  </si>
  <si>
    <t>PZ 65-125/40</t>
  </si>
  <si>
    <t>PZ 65-125/55</t>
  </si>
  <si>
    <t>PZ 65-125/75</t>
  </si>
  <si>
    <t>PZ 65-160/92</t>
  </si>
  <si>
    <t>PZ 65-160/110</t>
  </si>
  <si>
    <t>PZ 65-160/150</t>
  </si>
  <si>
    <t>PZ 65-200/150</t>
  </si>
  <si>
    <t>PZ 65-200/185</t>
  </si>
  <si>
    <t>PZ 65-200/220</t>
  </si>
  <si>
    <t>PZ 80-160/110</t>
  </si>
  <si>
    <t>PZ 80-160/150</t>
  </si>
  <si>
    <t>PZ 80-160/185</t>
  </si>
  <si>
    <t>PZ 80-200/220</t>
  </si>
  <si>
    <t>PZ 80-200/300</t>
  </si>
  <si>
    <t>PZ 80-200/370</t>
  </si>
  <si>
    <t>Нержавеющая сталь 304</t>
  </si>
  <si>
    <t>Механическое уплотнение, Carbon-SiC-Viton</t>
  </si>
  <si>
    <t xml:space="preserve">Моноблочные насосы с резьбовыми патрубками - PC </t>
  </si>
  <si>
    <t>PC</t>
  </si>
  <si>
    <t xml:space="preserve"> PC 5B</t>
  </si>
  <si>
    <t>Латунь</t>
  </si>
  <si>
    <t xml:space="preserve"> PC 5BM</t>
  </si>
  <si>
    <t xml:space="preserve"> PC 5AM</t>
  </si>
  <si>
    <t xml:space="preserve"> PC 220C</t>
  </si>
  <si>
    <t xml:space="preserve"> PC 220B</t>
  </si>
  <si>
    <t xml:space="preserve"> PC 680C</t>
  </si>
  <si>
    <t xml:space="preserve"> PC 680B</t>
  </si>
  <si>
    <t xml:space="preserve"> PC 6C</t>
  </si>
  <si>
    <t xml:space="preserve"> PC 6B</t>
  </si>
  <si>
    <t xml:space="preserve"> PC 6A</t>
  </si>
  <si>
    <t xml:space="preserve"> PC 6H</t>
  </si>
  <si>
    <t xml:space="preserve"> PC 560C</t>
  </si>
  <si>
    <t xml:space="preserve"> PC 560B</t>
  </si>
  <si>
    <t xml:space="preserve"> PC 560A</t>
  </si>
  <si>
    <t xml:space="preserve"> PC 8C</t>
  </si>
  <si>
    <t xml:space="preserve"> PC 8B</t>
  </si>
  <si>
    <t xml:space="preserve"> PC 625C</t>
  </si>
  <si>
    <t xml:space="preserve"> PC 625B</t>
  </si>
  <si>
    <t xml:space="preserve"> PC 625A</t>
  </si>
  <si>
    <t xml:space="preserve"> PC 660D</t>
  </si>
  <si>
    <t xml:space="preserve"> PC 660C</t>
  </si>
  <si>
    <t xml:space="preserve"> PC 660B</t>
  </si>
  <si>
    <t xml:space="preserve"> PC 660A</t>
  </si>
  <si>
    <t>Всасывающее и выпускное отверстия с резьбой G20</t>
  </si>
  <si>
    <t xml:space="preserve">Моноблочные насосы с двумя рабочими колесами - P2C </t>
  </si>
  <si>
    <t>P2C</t>
  </si>
  <si>
    <t>P2C 25-140/11</t>
  </si>
  <si>
    <t>32×25</t>
  </si>
  <si>
    <t>P2C 25-140/15</t>
  </si>
  <si>
    <t>P2C 25-160/11</t>
  </si>
  <si>
    <t>P2C 25-160/15</t>
  </si>
  <si>
    <t>P2C 25-160/22</t>
  </si>
  <si>
    <t>P2C 32-200/30</t>
  </si>
  <si>
    <t>40×32</t>
  </si>
  <si>
    <t>P2C 32-200/40</t>
  </si>
  <si>
    <t>P2C 32-210/55</t>
  </si>
  <si>
    <t>P2C 32-210/75</t>
  </si>
  <si>
    <t>P2C 40-210/55</t>
  </si>
  <si>
    <t>50×40</t>
  </si>
  <si>
    <t>P2C 40-210/75</t>
  </si>
  <si>
    <t>P2C 50-180/40</t>
  </si>
  <si>
    <t>P2C 50-180/55</t>
  </si>
  <si>
    <t>P2C 50-180/75</t>
  </si>
  <si>
    <t>P2C 40-200/92</t>
  </si>
  <si>
    <t>P2C 40-200/110</t>
  </si>
  <si>
    <t>P2C 50-200/92</t>
  </si>
  <si>
    <t>P2C 50-200/110</t>
  </si>
  <si>
    <t>P2C 40-250/130</t>
  </si>
  <si>
    <t>P2C 40-250/150</t>
  </si>
  <si>
    <t>P2C 40-250/185</t>
  </si>
  <si>
    <t>P2C 40-250/220</t>
  </si>
  <si>
    <t>P2C 50-250/130</t>
  </si>
  <si>
    <t>P2C 50-250/150</t>
  </si>
  <si>
    <t>P2C 50-250/185</t>
  </si>
  <si>
    <t>P2C 50-250/220</t>
  </si>
  <si>
    <r>
      <rPr>
        <rFont val="Calibri"/>
        <b/>
        <color theme="1"/>
        <sz val="18.0"/>
      </rPr>
      <t xml:space="preserve">Самовсасывающие центробежные насосы - PXZ </t>
    </r>
    <r>
      <rPr>
        <rFont val="Calibri"/>
        <b/>
        <color theme="1"/>
        <sz val="14.0"/>
      </rPr>
      <t xml:space="preserve"> </t>
    </r>
  </si>
  <si>
    <t>Максимальные</t>
  </si>
  <si>
    <t>Номинальные</t>
  </si>
  <si>
    <t>Рабочее</t>
  </si>
  <si>
    <t>PXZ</t>
  </si>
  <si>
    <t xml:space="preserve"> колесо</t>
  </si>
  <si>
    <t>PXZ(D) 15-30-1.5</t>
  </si>
  <si>
    <t>PXZ(D) 18-28-1.5</t>
  </si>
  <si>
    <t>PXZ(D) 18-35-2.2</t>
  </si>
  <si>
    <t>PXZ(D) 20-32-2.2</t>
  </si>
  <si>
    <t>PXZ(D) 22-40-3</t>
  </si>
  <si>
    <t>PXZ 25-45-4</t>
  </si>
  <si>
    <t>PXZW(D) 15-25-1.5</t>
  </si>
  <si>
    <t>PXZW(D) 18-30-2.2</t>
  </si>
  <si>
    <t>PXZW(D) 25-35-3</t>
  </si>
  <si>
    <t>PXZW 28-38-4</t>
  </si>
  <si>
    <t>(D)</t>
  </si>
  <si>
    <t>Однофазный (220В)</t>
  </si>
  <si>
    <t>Рабочее колесо закрытого типа для чистых вод</t>
  </si>
  <si>
    <t>PXZW</t>
  </si>
  <si>
    <t>Рабочее колесо открытого типа для сточных вод</t>
  </si>
  <si>
    <t>Максимальная высота всасывания</t>
  </si>
  <si>
    <t>8 метров</t>
  </si>
  <si>
    <t>Подключение 3-х фазного двигателя</t>
  </si>
  <si>
    <t>Самовсасывающие не блокирующийся насосы для сточных вод - PZWM</t>
  </si>
  <si>
    <t>PZW</t>
  </si>
  <si>
    <t>PZWM</t>
  </si>
  <si>
    <t>PZWM25-8-15/2</t>
  </si>
  <si>
    <t>PZWM32-5-20/2</t>
  </si>
  <si>
    <t>PZWM32-9-30/2</t>
  </si>
  <si>
    <t>3</t>
  </si>
  <si>
    <t>PZWM40-10-20/2</t>
  </si>
  <si>
    <t>PZWM40-15-30/2</t>
  </si>
  <si>
    <t>PZWM50-10-20/2</t>
  </si>
  <si>
    <t>PZWM50-20-15/2</t>
  </si>
  <si>
    <t>PZWM50-18-22/2</t>
  </si>
  <si>
    <t>PZWM50-15-30/2</t>
  </si>
  <si>
    <t>PZWM50-20-35/2</t>
  </si>
  <si>
    <t>PZWM50-20-40/2</t>
  </si>
  <si>
    <t>PZWM50-20-50/2</t>
  </si>
  <si>
    <t>11</t>
  </si>
  <si>
    <t>PZWM65-30-18/2</t>
  </si>
  <si>
    <t>4</t>
  </si>
  <si>
    <t>PZWM65-30-18/4</t>
  </si>
  <si>
    <t>PZWM65-25-30/2</t>
  </si>
  <si>
    <t>PZWM65-25-40/2</t>
  </si>
  <si>
    <t>PZWM65-25-50/2</t>
  </si>
  <si>
    <t>PZWM65-40-25/2</t>
  </si>
  <si>
    <t>PZWM80-40-16/2</t>
  </si>
  <si>
    <t>PZWM80-40-16/4</t>
  </si>
  <si>
    <t>PZWM80-25-40/2</t>
  </si>
  <si>
    <t>PZWM80-50-15/2</t>
  </si>
  <si>
    <t>PZWM80-65-25/2</t>
  </si>
  <si>
    <t>PZWM80-50-30/2</t>
  </si>
  <si>
    <t>PZWM80-80-35/2</t>
  </si>
  <si>
    <t>15</t>
  </si>
  <si>
    <t>PZWM80-50-60/2</t>
  </si>
  <si>
    <t>22</t>
  </si>
  <si>
    <t>PZWM100-100-10/4</t>
  </si>
  <si>
    <t>PZWM100-80-20/4</t>
  </si>
  <si>
    <t>PZWM100-100-15/4</t>
  </si>
  <si>
    <t>PZWM100-100-15/2</t>
  </si>
  <si>
    <t>PZWM100-100-20/2</t>
  </si>
  <si>
    <t>PZWM100-100-20/4</t>
  </si>
  <si>
    <t>PZWM100-100-30/2</t>
  </si>
  <si>
    <t>PZWM100-80-45/2</t>
  </si>
  <si>
    <t>PZWM100-80-60/2</t>
  </si>
  <si>
    <t>37</t>
  </si>
  <si>
    <t>PZWM100-80-80/2</t>
  </si>
  <si>
    <t>45</t>
  </si>
  <si>
    <t>PZWM125-120-20/4</t>
  </si>
  <si>
    <t>125x125</t>
  </si>
  <si>
    <t>PZWM150-180-10/4</t>
  </si>
  <si>
    <t>150x150</t>
  </si>
  <si>
    <t>PZWM150-180-14/4</t>
  </si>
  <si>
    <t>PZWM150-180-20/4</t>
  </si>
  <si>
    <t>PZWM150-180-30/4</t>
  </si>
  <si>
    <t>30</t>
  </si>
  <si>
    <t>PZWM150-180-35/4</t>
  </si>
  <si>
    <t>PZWM150-180-38/4</t>
  </si>
  <si>
    <t>PZWM150-180-45/4</t>
  </si>
  <si>
    <t>55</t>
  </si>
  <si>
    <t>PZWM200-280-14/4</t>
  </si>
  <si>
    <t>200x200</t>
  </si>
  <si>
    <t>PZWM200-280-20/4</t>
  </si>
  <si>
    <t>PZWM200-280-25/4</t>
  </si>
  <si>
    <t>PZWM200-280-28/4</t>
  </si>
  <si>
    <t>PZWM250-420-14/4</t>
  </si>
  <si>
    <t>250x250</t>
  </si>
  <si>
    <t>PZWM250-420-20/4</t>
  </si>
  <si>
    <t>PZWM300-800-14/4</t>
  </si>
  <si>
    <t>300x300</t>
  </si>
  <si>
    <t>PZWM300-800-20/4</t>
  </si>
  <si>
    <t>75</t>
  </si>
  <si>
    <t>Самовсасывающий неблокирующийся насос для сточных вод на раме с электродвигателем</t>
  </si>
  <si>
    <t xml:space="preserve">Высота самовсасывания </t>
  </si>
  <si>
    <t>4 - 6 метром</t>
  </si>
  <si>
    <t>Подключение двигателя</t>
  </si>
  <si>
    <t>Погружные канализационные насосы нового типа - WQA</t>
  </si>
  <si>
    <t>Размер частиц, мм</t>
  </si>
  <si>
    <t>Материал</t>
  </si>
  <si>
    <t>Рабочего</t>
  </si>
  <si>
    <t>Q - м³/ч</t>
  </si>
  <si>
    <t>H - м</t>
  </si>
  <si>
    <t>Колеса</t>
  </si>
  <si>
    <t>40WQ6-16-0.75A</t>
  </si>
  <si>
    <t>50WQ10-10-0.75A</t>
  </si>
  <si>
    <t>50WQ8-16-1.1A</t>
  </si>
  <si>
    <t>50WQ15-15-1.5A</t>
  </si>
  <si>
    <t>50WQ8-20-1.5A</t>
  </si>
  <si>
    <t>50WQ9-22-2.2A</t>
  </si>
  <si>
    <t>WQA</t>
  </si>
  <si>
    <t>50WQ15-20-2.2A</t>
  </si>
  <si>
    <t>50WQ15-30-3A</t>
  </si>
  <si>
    <t>50WQ15-35-4A</t>
  </si>
  <si>
    <t>50WQ15-40-5.5A</t>
  </si>
  <si>
    <t>50WQ20-45-7.5A</t>
  </si>
  <si>
    <t>65WQ15-10-1.1A</t>
  </si>
  <si>
    <t>65WQ25-10-1.5A</t>
  </si>
  <si>
    <t>65WQ25-17-2.2A</t>
  </si>
  <si>
    <t>65WQ25-22-3A</t>
  </si>
  <si>
    <t>65WQ25-28-4A</t>
  </si>
  <si>
    <t>65WQ30-30-5.5A</t>
  </si>
  <si>
    <t>65WQ30-35-7.5A</t>
  </si>
  <si>
    <t>80WQ45-9-2.2A</t>
  </si>
  <si>
    <t>80WQ43-13-3A</t>
  </si>
  <si>
    <t>80WQ40-18-4A</t>
  </si>
  <si>
    <t>80WQ30-30-5.5A</t>
  </si>
  <si>
    <t>80WQ30-36-7.5A</t>
  </si>
  <si>
    <t>100WQ60-9-3A</t>
  </si>
  <si>
    <t>100WQ60-13-4A</t>
  </si>
  <si>
    <t>100WQ65-15-5.5A</t>
  </si>
  <si>
    <t>100WQ65-22-7.5A</t>
  </si>
  <si>
    <t>150WQ100-7-5.5A</t>
  </si>
  <si>
    <t>150WQ100-10-7.5A</t>
  </si>
  <si>
    <t>Механическое уплотнение, Carbon - SiC - NBR</t>
  </si>
  <si>
    <t>Класс изоляции F, защита IP 68</t>
  </si>
  <si>
    <t>Погружной канализационный насос - WQ</t>
  </si>
  <si>
    <t>65WQ25-45-11A</t>
  </si>
  <si>
    <t>80WQ45-40-11A</t>
  </si>
  <si>
    <t>100WQ100-25-11A</t>
  </si>
  <si>
    <t>150WQ150-15-11A</t>
  </si>
  <si>
    <t>200WQ210-7-11A</t>
  </si>
  <si>
    <t>65WQ25-60-15A</t>
  </si>
  <si>
    <t>80WQ40-50-15A</t>
  </si>
  <si>
    <t>100WQ100-30-15A</t>
  </si>
  <si>
    <t>150WQ150-20-15A</t>
  </si>
  <si>
    <t>WQ</t>
  </si>
  <si>
    <t>200WQ220-12-15A</t>
  </si>
  <si>
    <t>80WQ60-45-18.5A</t>
  </si>
  <si>
    <t>100WQ100-35-18.5A</t>
  </si>
  <si>
    <t>150WQ130-25-18.5A</t>
  </si>
  <si>
    <t>200WQ200-15-18.5A</t>
  </si>
  <si>
    <t>80WQ60-50-22A</t>
  </si>
  <si>
    <t>100WQ100-40-22A</t>
  </si>
  <si>
    <t>150WQ130-30-22A</t>
  </si>
  <si>
    <t>200WQ200-20-22A</t>
  </si>
  <si>
    <t>100WQ110-10-5.5/4</t>
  </si>
  <si>
    <t>150WQ150-7-5.5</t>
  </si>
  <si>
    <t>100WQ100-15-7.5</t>
  </si>
  <si>
    <t>150WQ145-9-7.5</t>
  </si>
  <si>
    <t>150WQ150-10-7.5</t>
  </si>
  <si>
    <t>200WQ250-6-7.5</t>
  </si>
  <si>
    <t>150WQ180-11-11</t>
  </si>
  <si>
    <t>200WQ300-7-11</t>
  </si>
  <si>
    <t>200WQ300-9-11</t>
  </si>
  <si>
    <t>150WQ200-15-15</t>
  </si>
  <si>
    <t>200WQ250-11-15</t>
  </si>
  <si>
    <t>200WQ300-12-15</t>
  </si>
  <si>
    <t>100WQ100-35-18.5</t>
  </si>
  <si>
    <t>150WQ180-20-18.5</t>
  </si>
  <si>
    <t>200WQ300-10-18.5</t>
  </si>
  <si>
    <t>100WQ100-40-22</t>
  </si>
  <si>
    <t>150WQ200-22-22</t>
  </si>
  <si>
    <t>200WQ300-16-22</t>
  </si>
  <si>
    <t>250WQ500-9-22</t>
  </si>
  <si>
    <t>150WQ180-30-30</t>
  </si>
  <si>
    <t>200WQ250-22-30</t>
  </si>
  <si>
    <t>250WQ500-12-30</t>
  </si>
  <si>
    <t>300WQ800-7-30</t>
  </si>
  <si>
    <t>150WQ200-35-37</t>
  </si>
  <si>
    <t>200WQ300-28-37</t>
  </si>
  <si>
    <t>250WQ600-12-37</t>
  </si>
  <si>
    <t>300WQ800-9-37</t>
  </si>
  <si>
    <t>200WQ300-32-45</t>
  </si>
  <si>
    <t>250WQ600-15-45</t>
  </si>
  <si>
    <t>300WQ800-12-45</t>
  </si>
  <si>
    <t>200WQ300-40-55</t>
  </si>
  <si>
    <t>250WQ600-20-55</t>
  </si>
  <si>
    <t>300WQ800-15-55</t>
  </si>
  <si>
    <t>200WQ350-45-75</t>
  </si>
  <si>
    <t>250WQ600-25-75</t>
  </si>
  <si>
    <t>300WQ800-20-75</t>
  </si>
  <si>
    <t>Высококачественный китайский бренд</t>
  </si>
  <si>
    <t>Погружной канализационный насос с режущим механизмом  WQ-QG, WQV</t>
  </si>
  <si>
    <t>40WQ10-10-0.75QG</t>
  </si>
  <si>
    <t>4CR13</t>
  </si>
  <si>
    <t>40WQ15-10-1.1QG</t>
  </si>
  <si>
    <t>50WQ10-10-0.75QG</t>
  </si>
  <si>
    <t>50WQV10-10-0.75</t>
  </si>
  <si>
    <t>50WQ15-10-1.1QG</t>
  </si>
  <si>
    <t>50WQ15-15-1.5QG</t>
  </si>
  <si>
    <t>WQ-QG</t>
  </si>
  <si>
    <t>50WQ9-22-2.2QG</t>
  </si>
  <si>
    <t>50WQ15-20-2.2QG</t>
  </si>
  <si>
    <t>50WQ15-30-3QG</t>
  </si>
  <si>
    <t>65WQ25-10-1.5QG</t>
  </si>
  <si>
    <t>65WQ25-17-2.2QG</t>
  </si>
  <si>
    <t>65WQ25-21-3QG</t>
  </si>
  <si>
    <t>65WQ25-26-4QG</t>
  </si>
  <si>
    <t>65WQ30-30-5.5QG</t>
  </si>
  <si>
    <t>65WQ30-36-7.5QG</t>
  </si>
  <si>
    <t>80WQ45-9-2.2QG</t>
  </si>
  <si>
    <t>80WQ43-13-3QG</t>
  </si>
  <si>
    <t>80WQ45-17-4QG</t>
  </si>
  <si>
    <t>80WQ40-23-5.5QG</t>
  </si>
  <si>
    <t>80WQ45-28-7.5QG</t>
  </si>
  <si>
    <t>100WQ65-12-4QG</t>
  </si>
  <si>
    <t>100WQ65-17-5.5QG</t>
  </si>
  <si>
    <t>100WQ65-23-7.5QG</t>
  </si>
  <si>
    <t>150WQ100-12-7.5QG</t>
  </si>
  <si>
    <t>WQV</t>
  </si>
  <si>
    <t>100WQV80-25-11/4</t>
  </si>
  <si>
    <t>2CR13</t>
  </si>
  <si>
    <t>150WQV150-15-11/4</t>
  </si>
  <si>
    <t>100WQV80-30-15/4</t>
  </si>
  <si>
    <t>150WQV200-15-15/4</t>
  </si>
  <si>
    <t>150WQV250-15-18.5/4</t>
  </si>
  <si>
    <t>200WQV350-12-18.5/4</t>
  </si>
  <si>
    <t>150WQV300-15-22/4</t>
  </si>
  <si>
    <t>200WQV400-10-22/4</t>
  </si>
  <si>
    <t>200WQV250-21-30/4</t>
  </si>
  <si>
    <t>250WQV450-15-30/4</t>
  </si>
  <si>
    <t>Механическое уплотнение, Carbon - SiC - SS304</t>
  </si>
  <si>
    <t>Высококачественный подшипник NSK</t>
  </si>
  <si>
    <t>Донное присоединительное устройство</t>
  </si>
  <si>
    <t>100-100(PN6) COUPLING,</t>
  </si>
  <si>
    <t>150-150(PN6) COUPLING,</t>
  </si>
  <si>
    <t>200-200(PN10) COUPLING,</t>
  </si>
  <si>
    <t>40-40(PN6) COUPLING,</t>
  </si>
  <si>
    <t>50-50(PN6) COUPLING,</t>
  </si>
  <si>
    <t>65-65(PN6) COUPLING,</t>
  </si>
  <si>
    <t>80-80(PN6) COUPLING,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</si>
</sst>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_ "/>
    <numFmt numFmtId="165" formatCode="_-* #,##0\ &quot;₽&quot;_-;\-* #,##0\ &quot;₽&quot;_-;_-* &quot;-&quot;\ &quot;₽&quot;_-;_-@"/>
    <numFmt numFmtId="166" formatCode="0.0_ "/>
  </numFmts>
  <fonts count="35">
    <font>
      <sz val="12.0"/>
      <color rgb="FF000000"/>
      <name val="SimSun"/>
      <scheme val="minor"/>
    </font>
    <font>
      <sz val="12.0"/>
      <color theme="1"/>
      <name val="Calibri"/>
    </font>
    <font>
      <b/>
      <sz val="10.0"/>
      <color theme="1"/>
      <name val="Calibri"/>
    </font>
    <font>
      <sz val="14.0"/>
      <color rgb="FF3F3F3F"/>
      <name val="Calibri"/>
    </font>
    <font>
      <b/>
      <sz val="16.0"/>
      <color theme="1"/>
      <name val="Calibri"/>
    </font>
    <font>
      <sz val="14.0"/>
      <color theme="1"/>
      <name val="Calibri"/>
    </font>
    <font>
      <sz val="11.0"/>
      <color theme="1"/>
      <name val="Calibri"/>
    </font>
    <font>
      <sz val="18.0"/>
      <color theme="1"/>
      <name val="Calibri"/>
    </font>
    <font>
      <u/>
      <sz val="11.0"/>
      <color rgb="FF0000FF"/>
      <name val="Calibri"/>
    </font>
    <font>
      <b/>
      <sz val="18.0"/>
      <color rgb="FF2F5496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sz val="12.0"/>
      <color rgb="FFDD0806"/>
      <name val="Calibri"/>
    </font>
    <font/>
    <font>
      <b/>
      <sz val="12.0"/>
      <color rgb="FFDD0806"/>
      <name val="Calibri"/>
    </font>
    <font>
      <b/>
      <sz val="12.0"/>
      <color rgb="FF333399"/>
      <name val="Calibri"/>
    </font>
    <font>
      <b/>
      <sz val="12.0"/>
      <color rgb="FF2F5496"/>
      <name val="Calibri"/>
    </font>
    <font>
      <b/>
      <sz val="13.0"/>
      <color rgb="FF2F5496"/>
      <name val="Calibri"/>
    </font>
    <font>
      <b/>
      <sz val="11.0"/>
      <color theme="1"/>
      <name val="Calibri"/>
    </font>
    <font>
      <sz val="11.0"/>
      <color rgb="FF2F5496"/>
      <name val="Calibri"/>
    </font>
    <font>
      <b/>
      <sz val="22.0"/>
      <color theme="1"/>
      <name val="Calibri"/>
    </font>
    <font>
      <sz val="9.0"/>
      <color rgb="FF2F5496"/>
      <name val="Calibri"/>
    </font>
    <font>
      <sz val="10.0"/>
      <color theme="1"/>
      <name val="Calibri"/>
    </font>
    <font>
      <sz val="12.0"/>
      <color theme="1"/>
      <name val="SimSun"/>
    </font>
    <font>
      <b/>
      <sz val="11.0"/>
      <color theme="8"/>
      <name val="Calibri"/>
    </font>
    <font>
      <b/>
      <sz val="11.0"/>
      <color rgb="FFDD0806"/>
      <name val="Calibri"/>
    </font>
    <font>
      <b/>
      <sz val="12.0"/>
      <color theme="8"/>
      <name val="Calibri"/>
    </font>
    <font>
      <sz val="11.0"/>
      <color rgb="FF333399"/>
      <name val="Calibri"/>
    </font>
    <font>
      <b/>
      <sz val="13.0"/>
      <color rgb="FF2F5496"/>
      <name val="Verdana"/>
    </font>
    <font>
      <sz val="9.0"/>
      <color rgb="FF333399"/>
      <name val="Calibri"/>
    </font>
    <font>
      <b/>
      <sz val="11.0"/>
      <color rgb="FF2F5496"/>
      <name val="Calibri"/>
    </font>
    <font>
      <sz val="12.0"/>
      <color theme="1"/>
      <name val="Verdana"/>
    </font>
    <font>
      <sz val="11.0"/>
      <color rgb="FFDD0806"/>
      <name val="Calibri"/>
    </font>
    <font>
      <sz val="12.0"/>
      <color rgb="FFDD0806"/>
      <name val="Verdana"/>
    </font>
    <font>
      <b/>
      <sz val="16.0"/>
      <color rgb="FFDD0806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106">
    <border/>
    <border>
      <left/>
      <right/>
      <top/>
      <bottom/>
    </border>
    <border>
      <top style="medium">
        <color rgb="FFDD0806"/>
      </top>
      <bottom style="medium">
        <color rgb="FFDD0806"/>
      </bottom>
    </border>
    <border>
      <left/>
      <right style="medium">
        <color rgb="FF969696"/>
      </right>
      <top style="medium">
        <color rgb="FF969696"/>
      </top>
    </border>
    <border>
      <left style="medium">
        <color rgb="FF969696"/>
      </left>
      <top style="medium">
        <color rgb="FF969696"/>
      </top>
    </border>
    <border>
      <right style="medium">
        <color rgb="FF969696"/>
      </right>
      <top style="medium">
        <color rgb="FF969696"/>
      </top>
    </border>
    <border>
      <left style="medium">
        <color rgb="FF969696"/>
      </left>
      <top style="medium">
        <color rgb="FF969696"/>
      </top>
      <bottom/>
    </border>
    <border>
      <right style="medium">
        <color rgb="FF969696"/>
      </right>
      <top style="medium">
        <color rgb="FF969696"/>
      </top>
      <bottom/>
    </border>
    <border>
      <left style="medium">
        <color rgb="FF969696"/>
      </left>
      <right style="medium">
        <color rgb="FF969696"/>
      </right>
      <top style="medium">
        <color rgb="FF969696"/>
      </top>
      <bottom/>
    </border>
    <border>
      <left style="medium">
        <color rgb="FF969696"/>
      </left>
      <right style="thin">
        <color rgb="FF969696"/>
      </right>
      <top style="medium">
        <color rgb="FF969696"/>
      </top>
    </border>
    <border>
      <left style="thin">
        <color rgb="FF969696"/>
      </left>
      <right style="thin">
        <color rgb="FF969696"/>
      </right>
      <top style="medium">
        <color rgb="FF969696"/>
      </top>
    </border>
    <border>
      <left style="thin">
        <color rgb="FF969696"/>
      </left>
      <right/>
      <top style="medium">
        <color rgb="FF969696"/>
      </top>
      <bottom/>
    </border>
    <border>
      <left/>
      <right/>
      <top style="medium">
        <color rgb="FF969696"/>
      </top>
      <bottom/>
    </border>
    <border>
      <left/>
      <right style="medium">
        <color rgb="FF969696"/>
      </right>
    </border>
    <border>
      <left style="medium">
        <color rgb="FF969696"/>
      </left>
      <bottom/>
    </border>
    <border>
      <right style="medium">
        <color rgb="FF969696"/>
      </right>
      <bottom/>
    </border>
    <border>
      <left style="medium">
        <color rgb="FF969696"/>
      </left>
      <right/>
      <top/>
      <bottom/>
    </border>
    <border>
      <left/>
      <right style="medium">
        <color rgb="FF969696"/>
      </right>
      <top/>
      <bottom/>
    </border>
    <border>
      <left style="medium">
        <color rgb="FF969696"/>
      </left>
      <right style="medium">
        <color rgb="FF969696"/>
      </right>
      <top/>
      <bottom/>
    </border>
    <border>
      <right style="medium">
        <color rgb="FF969696"/>
      </right>
    </border>
    <border>
      <left style="medium">
        <color rgb="FF969696"/>
      </left>
      <right style="thin">
        <color rgb="FF969696"/>
      </right>
    </border>
    <border>
      <left style="thin">
        <color rgb="FF969696"/>
      </left>
      <right style="thin">
        <color rgb="FF969696"/>
      </right>
      <bottom/>
    </border>
    <border>
      <left/>
      <right style="medium">
        <color rgb="FF969696"/>
      </right>
      <bottom style="medium">
        <color rgb="FF969696"/>
      </bottom>
    </border>
    <border>
      <left style="medium">
        <color rgb="FF969696"/>
      </left>
      <right style="thin">
        <color rgb="FF969696"/>
      </right>
      <top/>
      <bottom style="medium">
        <color rgb="FF969696"/>
      </bottom>
    </border>
    <border>
      <left/>
      <right style="medium">
        <color rgb="FF969696"/>
      </right>
      <top/>
      <bottom style="medium">
        <color rgb="FF969696"/>
      </bottom>
    </border>
    <border>
      <left style="medium">
        <color rgb="FF969696"/>
      </left>
      <right style="medium">
        <color rgb="FF969696"/>
      </right>
      <top/>
      <bottom style="medium">
        <color rgb="FF969696"/>
      </bottom>
    </border>
    <border>
      <right style="thin">
        <color rgb="FF969696"/>
      </right>
    </border>
    <border>
      <left style="thin">
        <color rgb="FF969696"/>
      </left>
      <right style="medium">
        <color rgb="FF969696"/>
      </right>
    </border>
    <border>
      <left style="medium">
        <color rgb="FF969696"/>
      </left>
      <right style="thin">
        <color rgb="FF969696"/>
      </right>
      <bottom style="medium">
        <color rgb="FF969696"/>
      </bottom>
    </border>
    <border>
      <left/>
      <right style="thin">
        <color rgb="FF969696"/>
      </right>
      <top/>
      <bottom style="medium">
        <color rgb="FF969696"/>
      </bottom>
    </border>
    <border>
      <left/>
      <right style="thin">
        <color rgb="FFA5A5A5"/>
      </right>
      <top/>
      <bottom style="medium">
        <color rgb="FF969696"/>
      </bottom>
    </border>
    <border>
      <left style="thin">
        <color rgb="FFA5A5A5"/>
      </left>
      <right/>
      <top/>
      <bottom style="medium">
        <color rgb="FF969696"/>
      </bottom>
    </border>
    <border>
      <left/>
      <right style="medium">
        <color rgb="FF969696"/>
      </right>
      <top style="medium">
        <color rgb="FF969696"/>
      </top>
      <bottom style="medium">
        <color rgb="FF969696"/>
      </bottom>
    </border>
    <border>
      <left style="medium">
        <color rgb="FF969696"/>
      </left>
      <right style="thin">
        <color rgb="FF969696"/>
      </right>
      <top style="medium">
        <color rgb="FF969696"/>
      </top>
      <bottom style="medium">
        <color rgb="FF969696"/>
      </bottom>
    </border>
    <border>
      <right style="medium">
        <color rgb="FF969696"/>
      </right>
      <top style="medium">
        <color rgb="FF969696"/>
      </top>
      <bottom style="medium">
        <color rgb="FF969696"/>
      </bottom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</border>
    <border>
      <top style="medium">
        <color rgb="FF969696"/>
      </top>
      <bottom style="medium">
        <color rgb="FF969696"/>
      </bottom>
    </border>
    <border>
      <right style="thin">
        <color rgb="FF969696"/>
      </right>
      <top style="medium">
        <color rgb="FF969696"/>
      </top>
      <bottom style="medium">
        <color rgb="FF969696"/>
      </bottom>
    </border>
    <border>
      <right style="thin">
        <color rgb="FFA5A5A5"/>
      </right>
      <top style="medium">
        <color rgb="FF969696"/>
      </top>
      <bottom style="medium">
        <color rgb="FF969696"/>
      </bottom>
    </border>
    <border>
      <left style="thin">
        <color rgb="FFA5A5A5"/>
      </left>
      <top style="medium">
        <color rgb="FF969696"/>
      </top>
      <bottom style="medium">
        <color rgb="FF969696"/>
      </bottom>
    </border>
    <border>
      <left style="thin">
        <color rgb="FFBFBFBF"/>
      </left>
      <top style="medium">
        <color rgb="FF969696"/>
      </top>
      <bottom style="medium">
        <color rgb="FF969696"/>
      </bottom>
    </border>
    <border>
      <left/>
      <right/>
      <top/>
    </border>
    <border>
      <left/>
      <right/>
      <bottom/>
    </border>
    <border>
      <left/>
      <right style="thin">
        <color rgb="FF969696"/>
      </right>
      <top style="medium">
        <color rgb="FF969696"/>
      </top>
      <bottom style="thin">
        <color rgb="FF969696"/>
      </bottom>
    </border>
    <border>
      <left style="thin">
        <color rgb="FF969696"/>
      </left>
      <right/>
      <top style="medium">
        <color rgb="FF969696"/>
      </top>
      <bottom style="thin">
        <color rgb="FF969696"/>
      </bottom>
    </border>
    <border>
      <left/>
      <right/>
      <top style="medium">
        <color rgb="FF969696"/>
      </top>
      <bottom style="thin">
        <color rgb="FF969696"/>
      </bottom>
    </border>
    <border>
      <left/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thin">
        <color rgb="FF969696"/>
      </bottom>
    </border>
    <border>
      <left/>
      <right style="thin">
        <color rgb="FF969696"/>
      </right>
      <top style="thin">
        <color rgb="FF969696"/>
      </top>
      <bottom/>
    </border>
    <border>
      <left/>
      <right/>
      <top style="thin">
        <color rgb="FF969696"/>
      </top>
      <bottom/>
    </border>
    <border>
      <left style="thin">
        <color rgb="FF969696"/>
      </left>
      <right/>
      <top style="thin">
        <color rgb="FF969696"/>
      </top>
      <bottom/>
    </border>
    <border>
      <left/>
      <right/>
      <top style="medium">
        <color rgb="FFDD0806"/>
      </top>
      <bottom style="medium">
        <color rgb="FFDD0806"/>
      </bottom>
    </border>
    <border>
      <left style="medium">
        <color rgb="FF969696"/>
      </left>
      <right/>
      <top style="medium">
        <color rgb="FF969696"/>
      </top>
      <bottom/>
    </border>
    <border>
      <left/>
      <right style="thin">
        <color rgb="FF969696"/>
      </right>
      <top style="medium">
        <color rgb="FF969696"/>
      </top>
    </border>
    <border>
      <left/>
      <right style="thin">
        <color rgb="FF969696"/>
      </right>
    </border>
    <border>
      <left/>
      <right style="thin">
        <color rgb="FF969696"/>
      </right>
      <bottom style="medium">
        <color rgb="FF969696"/>
      </bottom>
    </border>
    <border>
      <left style="medium">
        <color rgb="FF969696"/>
      </left>
      <right/>
      <top style="medium">
        <color rgb="FF969696"/>
      </top>
      <bottom style="medium">
        <color rgb="FF969696"/>
      </bottom>
    </border>
    <border>
      <left/>
      <right style="thin">
        <color rgb="FFA5A5A5"/>
      </right>
      <top style="medium">
        <color rgb="FF969696"/>
      </top>
      <bottom style="medium">
        <color rgb="FF969696"/>
      </bottom>
    </border>
    <border>
      <left/>
      <right style="thin">
        <color rgb="FF969696"/>
      </right>
      <top style="medium">
        <color rgb="FF969696"/>
      </top>
      <bottom style="medium">
        <color rgb="FF969696"/>
      </bottom>
    </border>
    <border>
      <left style="thin">
        <color rgb="FFBFBFBF"/>
      </left>
      <right/>
      <top style="medium">
        <color rgb="FF969696"/>
      </top>
      <bottom style="medium">
        <color rgb="FF969696"/>
      </bottom>
    </border>
    <border>
      <left/>
      <top style="medium">
        <color rgb="FFDD0806"/>
      </top>
      <bottom style="medium">
        <color rgb="FFDD0806"/>
      </bottom>
    </border>
    <border>
      <right/>
      <top style="medium">
        <color rgb="FFDD0806"/>
      </top>
      <bottom style="medium">
        <color rgb="FFDD0806"/>
      </bottom>
    </border>
    <border>
      <left/>
      <top style="medium">
        <color rgb="FF969696"/>
      </top>
      <bottom/>
    </border>
    <border>
      <top style="medium">
        <color rgb="FF969696"/>
      </top>
      <bottom/>
    </border>
    <border>
      <left/>
      <right style="medium">
        <color rgb="FF969696"/>
      </right>
      <top style="medium">
        <color rgb="FF969696"/>
      </top>
      <bottom/>
    </border>
    <border>
      <left/>
      <top/>
      <bottom/>
    </border>
    <border>
      <right style="medium">
        <color rgb="FF969696"/>
      </right>
      <top/>
      <bottom/>
    </border>
    <border>
      <bottom style="medium">
        <color rgb="FF969696"/>
      </bottom>
    </border>
    <border>
      <right style="medium">
        <color rgb="FF969696"/>
      </right>
      <bottom style="medium">
        <color rgb="FF969696"/>
      </bottom>
    </border>
    <border>
      <left/>
      <right style="thin">
        <color rgb="FF969696"/>
      </right>
      <top/>
      <bottom/>
    </border>
    <border>
      <left/>
      <right/>
      <top style="medium">
        <color rgb="FF969696"/>
      </top>
      <bottom style="medium">
        <color rgb="FF969696"/>
      </bottom>
    </border>
    <border>
      <left style="thin">
        <color rgb="FFA5A5A5"/>
      </left>
      <right/>
      <top style="medium">
        <color rgb="FF969696"/>
      </top>
      <bottom style="medium">
        <color rgb="FF969696"/>
      </bottom>
    </border>
    <border>
      <left/>
      <top style="medium">
        <color rgb="FF969696"/>
      </top>
      <bottom style="thin">
        <color rgb="FF969696"/>
      </bottom>
    </border>
    <border>
      <right style="thin">
        <color rgb="FF969696"/>
      </right>
      <top style="medium">
        <color rgb="FF969696"/>
      </top>
      <bottom style="thin">
        <color rgb="FF969696"/>
      </bottom>
    </border>
    <border>
      <left/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/>
      <top style="thin">
        <color rgb="FF969696"/>
      </top>
      <bottom/>
    </border>
    <border>
      <right style="thin">
        <color rgb="FF969696"/>
      </right>
      <top style="thin">
        <color rgb="FF969696"/>
      </top>
      <bottom/>
    </border>
    <border>
      <right/>
      <top style="medium">
        <color rgb="FF969696"/>
      </top>
      <bottom/>
    </border>
    <border>
      <left/>
      <right style="medium">
        <color rgb="FF969696"/>
      </right>
      <top style="thick">
        <color rgb="FFC0C0C0"/>
      </top>
      <bottom style="medium">
        <color rgb="FF969696"/>
      </bottom>
    </border>
    <border>
      <left style="medium">
        <color rgb="FF969696"/>
      </left>
      <right style="thin">
        <color rgb="FF969696"/>
      </right>
      <top style="thick">
        <color rgb="FFC0C0C0"/>
      </top>
      <bottom style="medium">
        <color rgb="FF969696"/>
      </bottom>
    </border>
    <border>
      <left style="medium">
        <color rgb="FF969696"/>
      </left>
      <right style="medium">
        <color rgb="FF969696"/>
      </right>
      <top style="thick">
        <color rgb="FFC0C0C0"/>
      </top>
      <bottom style="medium">
        <color rgb="FF969696"/>
      </bottom>
    </border>
    <border>
      <left style="thin">
        <color rgb="FF969696"/>
      </left>
      <right style="medium">
        <color rgb="FF969696"/>
      </right>
      <top/>
      <bottom/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left style="medium">
        <color rgb="FF969696"/>
      </left>
      <top/>
      <bottom/>
    </border>
    <border>
      <left style="thin">
        <color rgb="FF969696"/>
      </left>
      <right style="medium">
        <color rgb="FF969696"/>
      </right>
      <top style="medium">
        <color rgb="FF969696"/>
      </top>
      <bottom style="medium">
        <color rgb="FF969696"/>
      </bottom>
    </border>
    <border>
      <left style="medium">
        <color rgb="FF969696"/>
      </left>
      <right/>
      <top/>
      <bottom style="medium">
        <color rgb="FF969696"/>
      </bottom>
    </border>
    <border>
      <top/>
      <bottom/>
    </border>
    <border>
      <right/>
      <top/>
      <bottom/>
    </border>
    <border>
      <left style="medium">
        <color rgb="FF969696"/>
      </left>
      <right style="medium">
        <color rgb="FF7F7F7F"/>
      </right>
      <top style="medium">
        <color rgb="FF969696"/>
      </top>
    </border>
    <border>
      <left style="medium">
        <color rgb="FF969696"/>
      </left>
      <right style="thin">
        <color rgb="FF969696"/>
      </right>
      <top style="medium">
        <color rgb="FF969696"/>
      </top>
      <bottom/>
    </border>
    <border>
      <left/>
      <right style="thin">
        <color rgb="FF969696"/>
      </right>
      <top style="medium">
        <color rgb="FF969696"/>
      </top>
      <bottom/>
    </border>
    <border>
      <left/>
      <right style="medium">
        <color rgb="FF969696"/>
      </right>
      <bottom/>
    </border>
    <border>
      <left style="medium">
        <color rgb="FF969696"/>
      </left>
      <right style="medium">
        <color rgb="FF7F7F7F"/>
      </right>
    </border>
    <border>
      <left style="medium">
        <color rgb="FF969696"/>
      </left>
      <right style="thin">
        <color rgb="FF969696"/>
      </right>
      <top/>
      <bottom/>
    </border>
    <border>
      <left style="medium">
        <color rgb="FF969696"/>
      </left>
      <right style="medium">
        <color rgb="FF7F7F7F"/>
      </right>
      <bottom style="medium">
        <color rgb="FF969696"/>
      </bottom>
    </border>
    <border>
      <left/>
      <right style="medium">
        <color rgb="FF7F7F7F"/>
      </right>
      <top/>
      <bottom/>
    </border>
    <border>
      <left style="medium">
        <color rgb="FF969696"/>
      </left>
      <right style="medium">
        <color rgb="FF7F7F7F"/>
      </right>
      <top style="medium">
        <color rgb="FF969696"/>
      </top>
      <bottom style="medium">
        <color rgb="FF969696"/>
      </bottom>
    </border>
    <border>
      <left/>
      <right style="medium">
        <color rgb="FF7F7F7F"/>
      </right>
      <top style="medium">
        <color rgb="FF969696"/>
      </top>
      <bottom style="medium">
        <color rgb="FF969696"/>
      </bottom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969696"/>
      </bottom>
    </border>
    <border>
      <left style="medium">
        <color rgb="FF7F7F7F"/>
      </left>
      <right style="medium">
        <color rgb="FF7F7F7F"/>
      </right>
      <top style="medium">
        <color rgb="FF969696"/>
      </top>
      <bottom style="medium">
        <color rgb="FF969696"/>
      </bottom>
    </border>
    <border>
      <left style="medium">
        <color rgb="FF7F7F7F"/>
      </left>
      <right style="medium">
        <color rgb="FF7F7F7F"/>
      </right>
      <top style="medium">
        <color rgb="FF969696"/>
      </top>
      <bottom style="medium">
        <color rgb="FF7F7F7F"/>
      </bottom>
    </border>
    <border>
      <left style="medium">
        <color rgb="FF969696"/>
      </left>
      <right style="medium">
        <color rgb="FF7F7F7F"/>
      </right>
      <top/>
      <bottom/>
    </border>
    <border>
      <left style="medium">
        <color rgb="FF969696"/>
      </left>
      <right style="medium">
        <color rgb="FF7F7F7F"/>
      </right>
      <top/>
      <bottom style="medium">
        <color rgb="FF969696"/>
      </bottom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shrinkToFit="0" vertical="center" wrapText="0"/>
    </xf>
    <xf borderId="1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1" fillId="2" fontId="6" numFmtId="0" xfId="0" applyAlignment="1" applyBorder="1" applyFont="1">
      <alignment horizontal="right" shrinkToFit="0" vertical="center" wrapText="0"/>
    </xf>
    <xf borderId="1" fillId="2" fontId="7" numFmtId="0" xfId="0" applyAlignment="1" applyBorder="1" applyFont="1">
      <alignment horizontal="right" readingOrder="0" shrinkToFit="0" vertical="center" wrapText="0"/>
    </xf>
    <xf borderId="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1" fillId="2" fontId="5" numFmtId="0" xfId="0" applyAlignment="1" applyBorder="1" applyFont="1">
      <alignment shrinkToFit="0" vertical="top" wrapText="0"/>
    </xf>
    <xf borderId="1" fillId="2" fontId="8" numFmtId="0" xfId="0" applyAlignment="1" applyBorder="1" applyFont="1">
      <alignment horizontal="right" shrinkToFit="0" vertical="top" wrapText="0"/>
    </xf>
    <xf borderId="0" fillId="0" fontId="9" numFmtId="0" xfId="0" applyAlignment="1" applyFont="1">
      <alignment horizontal="center" shrinkToFit="0" vertical="center" wrapText="0"/>
    </xf>
    <xf borderId="2" fillId="0" fontId="10" numFmtId="0" xfId="0" applyAlignment="1" applyBorder="1" applyFont="1">
      <alignment horizontal="left" shrinkToFit="0" vertical="center" wrapText="0"/>
    </xf>
    <xf borderId="2" fillId="0" fontId="1" numFmtId="0" xfId="0" applyAlignment="1" applyBorder="1" applyFont="1">
      <alignment shrinkToFit="0" vertical="center" wrapText="0"/>
    </xf>
    <xf borderId="2" fillId="0" fontId="11" numFmtId="0" xfId="0" applyAlignment="1" applyBorder="1" applyFont="1">
      <alignment shrinkToFit="0" vertical="center" wrapText="0"/>
    </xf>
    <xf borderId="2" fillId="0" fontId="11" numFmtId="0" xfId="0" applyAlignment="1" applyBorder="1" applyFont="1">
      <alignment horizontal="right" shrinkToFit="0" vertical="center" wrapText="0"/>
    </xf>
    <xf borderId="0" fillId="0" fontId="1" numFmtId="0" xfId="0" applyAlignment="1" applyFont="1">
      <alignment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center" wrapText="0"/>
    </xf>
    <xf borderId="3" fillId="2" fontId="11" numFmtId="0" xfId="0" applyAlignment="1" applyBorder="1" applyFont="1">
      <alignment horizontal="center" shrinkToFit="0" vertical="center" wrapText="0"/>
    </xf>
    <xf borderId="4" fillId="2" fontId="11" numFmtId="0" xfId="0" applyAlignment="1" applyBorder="1" applyFont="1">
      <alignment horizontal="center" shrinkToFit="0" vertical="top" wrapText="1"/>
    </xf>
    <xf borderId="5" fillId="0" fontId="13" numFmtId="0" xfId="0" applyAlignment="1" applyBorder="1" applyFont="1">
      <alignment vertical="center"/>
    </xf>
    <xf borderId="6" fillId="2" fontId="11" numFmtId="0" xfId="0" applyAlignment="1" applyBorder="1" applyFont="1">
      <alignment horizontal="center" shrinkToFit="0" vertical="top" wrapText="1"/>
    </xf>
    <xf borderId="7" fillId="0" fontId="13" numFmtId="0" xfId="0" applyAlignment="1" applyBorder="1" applyFont="1">
      <alignment vertical="center"/>
    </xf>
    <xf borderId="8" fillId="2" fontId="11" numFmtId="0" xfId="0" applyAlignment="1" applyBorder="1" applyFont="1">
      <alignment horizontal="center" shrinkToFit="0" vertical="top" wrapText="1"/>
    </xf>
    <xf borderId="6" fillId="2" fontId="14" numFmtId="0" xfId="0" applyAlignment="1" applyBorder="1" applyFont="1">
      <alignment horizontal="center" shrinkToFit="0" vertical="top" wrapText="0"/>
    </xf>
    <xf borderId="9" fillId="2" fontId="11" numFmtId="0" xfId="0" applyAlignment="1" applyBorder="1" applyFont="1">
      <alignment horizontal="center" shrinkToFit="0" vertical="top" wrapText="1"/>
    </xf>
    <xf borderId="10" fillId="3" fontId="11" numFmtId="0" xfId="0" applyAlignment="1" applyBorder="1" applyFill="1" applyFont="1">
      <alignment horizontal="center" shrinkToFit="0" vertical="top" wrapText="1"/>
    </xf>
    <xf borderId="11" fillId="2" fontId="11" numFmtId="0" xfId="0" applyAlignment="1" applyBorder="1" applyFont="1">
      <alignment horizontal="center" shrinkToFit="0" vertical="top" wrapText="1"/>
    </xf>
    <xf borderId="12" fillId="2" fontId="11" numFmtId="0" xfId="0" applyAlignment="1" applyBorder="1" applyFont="1">
      <alignment horizontal="center" shrinkToFit="0" vertical="top" wrapText="0"/>
    </xf>
    <xf borderId="1" fillId="2" fontId="9" numFmtId="0" xfId="0" applyAlignment="1" applyBorder="1" applyFont="1">
      <alignment horizontal="center" shrinkToFit="0" vertical="center" wrapText="0"/>
    </xf>
    <xf borderId="13" fillId="0" fontId="13" numFmtId="0" xfId="0" applyAlignment="1" applyBorder="1" applyFont="1">
      <alignment vertical="center"/>
    </xf>
    <xf borderId="14" fillId="0" fontId="13" numFmtId="0" xfId="0" applyAlignment="1" applyBorder="1" applyFont="1">
      <alignment vertical="center"/>
    </xf>
    <xf borderId="15" fillId="0" fontId="13" numFmtId="0" xfId="0" applyAlignment="1" applyBorder="1" applyFont="1">
      <alignment vertical="center"/>
    </xf>
    <xf borderId="16" fillId="2" fontId="11" numFmtId="0" xfId="0" applyAlignment="1" applyBorder="1" applyFont="1">
      <alignment horizontal="center" shrinkToFit="0" vertical="center" wrapText="1"/>
    </xf>
    <xf borderId="17" fillId="2" fontId="11" numFmtId="0" xfId="0" applyAlignment="1" applyBorder="1" applyFont="1">
      <alignment horizontal="center" shrinkToFit="0" vertical="center" wrapText="0"/>
    </xf>
    <xf borderId="18" fillId="2" fontId="11" numFmtId="0" xfId="0" applyAlignment="1" applyBorder="1" applyFont="1">
      <alignment horizontal="center" shrinkToFit="0" vertical="center" wrapText="0"/>
    </xf>
    <xf borderId="16" fillId="2" fontId="15" numFmtId="0" xfId="0" applyAlignment="1" applyBorder="1" applyFont="1">
      <alignment horizontal="center" shrinkToFit="0" vertical="top" wrapText="0"/>
    </xf>
    <xf borderId="19" fillId="0" fontId="15" numFmtId="0" xfId="0" applyAlignment="1" applyBorder="1" applyFont="1">
      <alignment horizontal="center" shrinkToFit="0" vertical="top" wrapText="0"/>
    </xf>
    <xf borderId="20" fillId="0" fontId="13" numFmtId="0" xfId="0" applyAlignment="1" applyBorder="1" applyFont="1">
      <alignment vertical="center"/>
    </xf>
    <xf borderId="21" fillId="0" fontId="13" numFmtId="0" xfId="0" applyAlignment="1" applyBorder="1" applyFont="1">
      <alignment vertical="center"/>
    </xf>
    <xf borderId="1" fillId="2" fontId="11" numFmtId="0" xfId="0" applyAlignment="1" applyBorder="1" applyFont="1">
      <alignment horizontal="center" shrinkToFit="0" vertical="top" wrapText="0"/>
    </xf>
    <xf borderId="22" fillId="0" fontId="13" numFmtId="0" xfId="0" applyAlignment="1" applyBorder="1" applyFont="1">
      <alignment vertical="center"/>
    </xf>
    <xf borderId="23" fillId="2" fontId="1" numFmtId="0" xfId="0" applyAlignment="1" applyBorder="1" applyFont="1">
      <alignment horizontal="center" shrinkToFit="0" vertical="center" wrapText="0"/>
    </xf>
    <xf borderId="24" fillId="2" fontId="1" numFmtId="0" xfId="0" applyAlignment="1" applyBorder="1" applyFont="1">
      <alignment horizontal="center" shrinkToFit="0" vertical="center" wrapText="0"/>
    </xf>
    <xf borderId="25" fillId="2" fontId="1" numFmtId="0" xfId="0" applyAlignment="1" applyBorder="1" applyFont="1">
      <alignment horizontal="center" shrinkToFit="0" vertical="center" wrapText="0"/>
    </xf>
    <xf borderId="26" fillId="0" fontId="16" numFmtId="0" xfId="0" applyAlignment="1" applyBorder="1" applyFont="1">
      <alignment horizontal="center" shrinkToFit="0" vertical="center" wrapText="0"/>
    </xf>
    <xf borderId="27" fillId="0" fontId="16" numFmtId="0" xfId="0" applyAlignment="1" applyBorder="1" applyFont="1">
      <alignment horizontal="center" shrinkToFit="0" vertical="center" wrapText="0"/>
    </xf>
    <xf borderId="28" fillId="0" fontId="13" numFmtId="0" xfId="0" applyAlignment="1" applyBorder="1" applyFont="1">
      <alignment vertical="center"/>
    </xf>
    <xf borderId="29" fillId="2" fontId="1" numFmtId="0" xfId="0" applyAlignment="1" applyBorder="1" applyFont="1">
      <alignment horizontal="center" shrinkToFit="0" vertical="center" wrapText="0"/>
    </xf>
    <xf borderId="30" fillId="2" fontId="1" numFmtId="0" xfId="0" applyAlignment="1" applyBorder="1" applyFont="1">
      <alignment horizontal="center" shrinkToFit="0" vertical="center" wrapText="0"/>
    </xf>
    <xf borderId="31" fillId="2" fontId="1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center" shrinkToFit="0" vertical="center" wrapText="0"/>
    </xf>
    <xf borderId="32" fillId="4" fontId="18" numFmtId="0" xfId="0" applyAlignment="1" applyBorder="1" applyFill="1" applyFont="1">
      <alignment horizontal="left" shrinkToFit="0" vertical="center" wrapText="0"/>
    </xf>
    <xf borderId="33" fillId="0" fontId="6" numFmtId="0" xfId="0" applyAlignment="1" applyBorder="1" applyFont="1">
      <alignment horizontal="center" shrinkToFit="0" vertical="center" wrapText="0"/>
    </xf>
    <xf borderId="34" fillId="0" fontId="6" numFmtId="0" xfId="0" applyAlignment="1" applyBorder="1" applyFont="1">
      <alignment horizontal="center" shrinkToFit="0" vertical="center" wrapText="0"/>
    </xf>
    <xf borderId="35" fillId="0" fontId="6" numFmtId="0" xfId="0" applyAlignment="1" applyBorder="1" applyFont="1">
      <alignment horizontal="center" shrinkToFit="0" vertical="center" wrapText="0"/>
    </xf>
    <xf borderId="33" fillId="0" fontId="19" numFmtId="3" xfId="0" applyAlignment="1" applyBorder="1" applyFont="1" applyNumberFormat="1">
      <alignment horizontal="center" shrinkToFit="0" vertical="center" wrapText="0"/>
    </xf>
    <xf borderId="36" fillId="0" fontId="19" numFmtId="3" xfId="0" applyAlignment="1" applyBorder="1" applyFont="1" applyNumberFormat="1">
      <alignment horizontal="center" shrinkToFit="0" vertical="center" wrapText="0"/>
    </xf>
    <xf borderId="37" fillId="0" fontId="6" numFmtId="0" xfId="0" applyAlignment="1" applyBorder="1" applyFont="1">
      <alignment horizontal="center" shrinkToFit="0" vertical="center" wrapText="0"/>
    </xf>
    <xf borderId="38" fillId="0" fontId="6" numFmtId="0" xfId="0" applyAlignment="1" applyBorder="1" applyFont="1">
      <alignment horizontal="center" shrinkToFit="0" vertical="center" wrapText="0"/>
    </xf>
    <xf borderId="39" fillId="0" fontId="6" numFmtId="164" xfId="0" applyAlignment="1" applyBorder="1" applyFont="1" applyNumberFormat="1">
      <alignment horizontal="center" shrinkToFit="0" vertical="center" wrapText="0"/>
    </xf>
    <xf borderId="0" fillId="0" fontId="20" numFmtId="0" xfId="0" applyAlignment="1" applyFont="1">
      <alignment shrinkToFit="0" vertical="center" wrapText="0"/>
    </xf>
    <xf borderId="40" fillId="0" fontId="6" numFmtId="164" xfId="0" applyAlignment="1" applyBorder="1" applyFont="1" applyNumberFormat="1">
      <alignment horizontal="center" shrinkToFit="0" vertical="center" wrapText="0"/>
    </xf>
    <xf borderId="41" fillId="2" fontId="9" numFmtId="0" xfId="0" applyAlignment="1" applyBorder="1" applyFont="1">
      <alignment horizontal="center" shrinkToFit="0" vertical="center" wrapText="0"/>
    </xf>
    <xf borderId="42" fillId="0" fontId="13" numFmtId="0" xfId="0" applyAlignment="1" applyBorder="1" applyFont="1">
      <alignment vertical="center"/>
    </xf>
    <xf borderId="32" fillId="4" fontId="18" numFmtId="0" xfId="0" applyAlignment="1" applyBorder="1" applyFont="1">
      <alignment horizontal="left" shrinkToFit="0" vertical="center" wrapText="1"/>
    </xf>
    <xf borderId="34" fillId="0" fontId="18" numFmtId="0" xfId="0" applyAlignment="1" applyBorder="1" applyFont="1">
      <alignment horizontal="left" shrinkToFit="0" vertical="center" wrapText="0"/>
    </xf>
    <xf borderId="36" fillId="0" fontId="21" numFmtId="3" xfId="0" applyAlignment="1" applyBorder="1" applyFont="1" applyNumberFormat="1">
      <alignment horizontal="center" shrinkToFit="0" vertical="center" wrapText="0"/>
    </xf>
    <xf borderId="1" fillId="2" fontId="22" numFmtId="0" xfId="0" applyAlignment="1" applyBorder="1" applyFont="1">
      <alignment shrinkToFit="0" vertical="center" wrapText="0"/>
    </xf>
    <xf borderId="43" fillId="5" fontId="6" numFmtId="0" xfId="0" applyAlignment="1" applyBorder="1" applyFill="1" applyFont="1">
      <alignment horizontal="left" shrinkToFit="0" vertical="center" wrapText="0"/>
    </xf>
    <xf borderId="44" fillId="5" fontId="6" numFmtId="0" xfId="0" applyAlignment="1" applyBorder="1" applyFont="1">
      <alignment shrinkToFit="0" vertical="center" wrapText="0"/>
    </xf>
    <xf borderId="45" fillId="5" fontId="6" numFmtId="0" xfId="0" applyAlignment="1" applyBorder="1" applyFont="1">
      <alignment shrinkToFit="0" vertical="center" wrapText="0"/>
    </xf>
    <xf borderId="45" fillId="5" fontId="1" numFmtId="0" xfId="0" applyAlignment="1" applyBorder="1" applyFont="1">
      <alignment shrinkToFit="0" vertical="center" wrapText="0"/>
    </xf>
    <xf borderId="1" fillId="2" fontId="12" numFmtId="0" xfId="0" applyAlignment="1" applyBorder="1" applyFont="1">
      <alignment shrinkToFit="0" vertical="center" wrapText="0"/>
    </xf>
    <xf borderId="46" fillId="5" fontId="6" numFmtId="0" xfId="0" applyAlignment="1" applyBorder="1" applyFont="1">
      <alignment horizontal="left" shrinkToFit="0" vertical="center" wrapText="0"/>
    </xf>
    <xf borderId="47" fillId="5" fontId="6" numFmtId="0" xfId="0" applyAlignment="1" applyBorder="1" applyFont="1">
      <alignment shrinkToFit="0" vertical="center" wrapText="0"/>
    </xf>
    <xf borderId="48" fillId="5" fontId="6" numFmtId="0" xfId="0" applyAlignment="1" applyBorder="1" applyFont="1">
      <alignment shrinkToFit="0" vertical="center" wrapText="0"/>
    </xf>
    <xf borderId="48" fillId="5" fontId="1" numFmtId="0" xfId="0" applyAlignment="1" applyBorder="1" applyFont="1">
      <alignment shrinkToFit="0" vertical="center" wrapText="0"/>
    </xf>
    <xf borderId="49" fillId="5" fontId="6" numFmtId="0" xfId="0" applyAlignment="1" applyBorder="1" applyFont="1">
      <alignment horizontal="left" shrinkToFit="0" vertical="center" wrapText="0"/>
    </xf>
    <xf borderId="50" fillId="5" fontId="6" numFmtId="0" xfId="0" applyAlignment="1" applyBorder="1" applyFont="1">
      <alignment shrinkToFit="0" vertical="center" wrapText="0"/>
    </xf>
    <xf borderId="50" fillId="5" fontId="1" numFmtId="0" xfId="0" applyAlignment="1" applyBorder="1" applyFont="1">
      <alignment shrinkToFit="0" vertical="center" wrapText="0"/>
    </xf>
    <xf borderId="51" fillId="5" fontId="6" numFmtId="0" xfId="0" applyAlignment="1" applyBorder="1" applyFont="1">
      <alignment shrinkToFit="0" vertical="center" wrapText="0"/>
    </xf>
    <xf borderId="0" fillId="0" fontId="1" numFmtId="0" xfId="0" applyAlignment="1" applyFont="1">
      <alignment horizontal="left" shrinkToFit="0" vertical="center" wrapText="0"/>
    </xf>
    <xf borderId="1" fillId="2" fontId="6" numFmtId="0" xfId="0" applyAlignment="1" applyBorder="1" applyFont="1">
      <alignment horizontal="right" shrinkToFit="0" vertical="top" wrapText="0"/>
    </xf>
    <xf borderId="52" fillId="2" fontId="10" numFmtId="0" xfId="0" applyAlignment="1" applyBorder="1" applyFont="1">
      <alignment horizontal="left" shrinkToFit="0" vertical="center" wrapText="0"/>
    </xf>
    <xf borderId="52" fillId="2" fontId="11" numFmtId="0" xfId="0" applyAlignment="1" applyBorder="1" applyFont="1">
      <alignment shrinkToFit="0" vertical="center" wrapText="0"/>
    </xf>
    <xf borderId="2" fillId="0" fontId="23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1" fillId="2" fontId="10" numFmtId="0" xfId="0" applyAlignment="1" applyBorder="1" applyFont="1">
      <alignment horizontal="center" shrinkToFit="0" vertical="center" wrapText="0"/>
    </xf>
    <xf borderId="53" fillId="2" fontId="11" numFmtId="0" xfId="0" applyAlignment="1" applyBorder="1" applyFont="1">
      <alignment horizontal="center" shrinkToFit="0" vertical="top" wrapText="1"/>
    </xf>
    <xf borderId="54" fillId="2" fontId="11" numFmtId="0" xfId="0" applyAlignment="1" applyBorder="1" applyFont="1">
      <alignment horizontal="center" shrinkToFit="0" vertical="top" wrapText="1"/>
    </xf>
    <xf borderId="1" fillId="2" fontId="12" numFmtId="0" xfId="0" applyAlignment="1" applyBorder="1" applyFont="1">
      <alignment horizontal="center" shrinkToFit="0" vertical="center" wrapText="0"/>
    </xf>
    <xf borderId="16" fillId="2" fontId="11" numFmtId="0" xfId="0" applyAlignment="1" applyBorder="1" applyFont="1">
      <alignment horizontal="center" shrinkToFit="0" vertical="top" wrapText="1"/>
    </xf>
    <xf borderId="17" fillId="2" fontId="11" numFmtId="0" xfId="0" applyAlignment="1" applyBorder="1" applyFont="1">
      <alignment horizontal="center" shrinkToFit="0" vertical="top" wrapText="0"/>
    </xf>
    <xf borderId="18" fillId="2" fontId="11" numFmtId="0" xfId="0" applyAlignment="1" applyBorder="1" applyFont="1">
      <alignment horizontal="center" shrinkToFit="0" vertical="top" wrapText="0"/>
    </xf>
    <xf borderId="16" fillId="2" fontId="16" numFmtId="0" xfId="0" applyAlignment="1" applyBorder="1" applyFont="1">
      <alignment horizontal="center" shrinkToFit="0" vertical="top" wrapText="0"/>
    </xf>
    <xf borderId="17" fillId="2" fontId="16" numFmtId="0" xfId="0" applyAlignment="1" applyBorder="1" applyFont="1">
      <alignment horizontal="center" shrinkToFit="0" vertical="top" wrapText="0"/>
    </xf>
    <xf borderId="55" fillId="0" fontId="13" numFmtId="0" xfId="0" applyAlignment="1" applyBorder="1" applyFont="1">
      <alignment vertical="center"/>
    </xf>
    <xf borderId="56" fillId="0" fontId="13" numFmtId="0" xfId="0" applyAlignment="1" applyBorder="1" applyFont="1">
      <alignment vertical="center"/>
    </xf>
    <xf borderId="33" fillId="2" fontId="6" numFmtId="0" xfId="0" applyAlignment="1" applyBorder="1" applyFont="1">
      <alignment horizontal="center" shrinkToFit="0" vertical="center" wrapText="0"/>
    </xf>
    <xf borderId="32" fillId="2" fontId="6" numFmtId="0" xfId="0" applyAlignment="1" applyBorder="1" applyFont="1">
      <alignment horizontal="center" shrinkToFit="0" vertical="center" wrapText="0"/>
    </xf>
    <xf borderId="57" fillId="2" fontId="6" numFmtId="0" xfId="0" applyAlignment="1" applyBorder="1" applyFont="1">
      <alignment horizontal="center" shrinkToFit="0" vertical="center" wrapText="0"/>
    </xf>
    <xf borderId="33" fillId="2" fontId="19" numFmtId="3" xfId="0" applyAlignment="1" applyBorder="1" applyFont="1" applyNumberFormat="1">
      <alignment horizontal="center" shrinkToFit="0" vertical="center" wrapText="0"/>
    </xf>
    <xf borderId="32" fillId="2" fontId="19" numFmtId="3" xfId="0" applyAlignment="1" applyBorder="1" applyFont="1" applyNumberFormat="1">
      <alignment horizontal="center" shrinkToFit="0" vertical="center" wrapText="0"/>
    </xf>
    <xf borderId="58" fillId="2" fontId="6" numFmtId="0" xfId="0" applyAlignment="1" applyBorder="1" applyFont="1">
      <alignment horizontal="center" shrinkToFit="0" vertical="center" wrapText="0"/>
    </xf>
    <xf borderId="59" fillId="2" fontId="6" numFmtId="0" xfId="0" applyAlignment="1" applyBorder="1" applyFont="1">
      <alignment horizontal="center" shrinkToFit="0" vertical="center" wrapText="0"/>
    </xf>
    <xf borderId="60" fillId="2" fontId="6" numFmtId="164" xfId="0" applyAlignment="1" applyBorder="1" applyFont="1" applyNumberFormat="1">
      <alignment horizontal="center" shrinkToFit="0" vertical="center" wrapText="0"/>
    </xf>
    <xf borderId="33" fillId="2" fontId="19" numFmtId="0" xfId="0" applyAlignment="1" applyBorder="1" applyFont="1">
      <alignment horizontal="center" shrinkToFit="0" vertical="center" wrapText="0"/>
    </xf>
    <xf borderId="32" fillId="2" fontId="18" numFmtId="0" xfId="0" applyAlignment="1" applyBorder="1" applyFont="1">
      <alignment horizontal="left" shrinkToFit="0" vertical="center" wrapText="0"/>
    </xf>
    <xf borderId="1" fillId="2" fontId="5" numFmtId="49" xfId="0" applyAlignment="1" applyBorder="1" applyFont="1" applyNumberFormat="1">
      <alignment shrinkToFit="0" vertical="bottom" wrapText="0"/>
    </xf>
    <xf borderId="61" fillId="2" fontId="10" numFmtId="0" xfId="0" applyAlignment="1" applyBorder="1" applyFont="1">
      <alignment horizontal="left" shrinkToFit="0" vertical="center" wrapText="0"/>
    </xf>
    <xf borderId="2" fillId="0" fontId="13" numFmtId="0" xfId="0" applyAlignment="1" applyBorder="1" applyFont="1">
      <alignment vertical="center"/>
    </xf>
    <xf borderId="62" fillId="0" fontId="13" numFmtId="0" xfId="0" applyAlignment="1" applyBorder="1" applyFont="1">
      <alignment vertical="center"/>
    </xf>
    <xf borderId="63" fillId="2" fontId="18" numFmtId="0" xfId="0" applyAlignment="1" applyBorder="1" applyFont="1">
      <alignment horizontal="center" shrinkToFit="0" vertical="center" wrapText="0"/>
    </xf>
    <xf borderId="64" fillId="0" fontId="13" numFmtId="0" xfId="0" applyAlignment="1" applyBorder="1" applyFont="1">
      <alignment vertical="center"/>
    </xf>
    <xf borderId="65" fillId="2" fontId="14" numFmtId="0" xfId="0" applyAlignment="1" applyBorder="1" applyFont="1">
      <alignment horizontal="center" shrinkToFit="0" vertical="top" wrapText="0"/>
    </xf>
    <xf borderId="12" fillId="2" fontId="24" numFmtId="0" xfId="0" applyAlignment="1" applyBorder="1" applyFont="1">
      <alignment horizontal="center" shrinkToFit="0" vertical="bottom" wrapText="0"/>
    </xf>
    <xf borderId="5" fillId="0" fontId="24" numFmtId="0" xfId="0" applyAlignment="1" applyBorder="1" applyFont="1">
      <alignment horizontal="center" shrinkToFit="0" vertical="bottom" wrapText="0"/>
    </xf>
    <xf borderId="66" fillId="2" fontId="11" numFmtId="0" xfId="0" applyAlignment="1" applyBorder="1" applyFont="1">
      <alignment horizontal="center" shrinkToFit="0" vertical="top" wrapText="0"/>
    </xf>
    <xf borderId="67" fillId="0" fontId="13" numFmtId="0" xfId="0" applyAlignment="1" applyBorder="1" applyFont="1">
      <alignment vertical="center"/>
    </xf>
    <xf borderId="17" fillId="2" fontId="16" numFmtId="0" xfId="0" applyAlignment="1" applyBorder="1" applyFont="1">
      <alignment horizontal="center" shrinkToFit="0" vertical="center" wrapText="0"/>
    </xf>
    <xf borderId="68" fillId="0" fontId="24" numFmtId="0" xfId="0" applyAlignment="1" applyBorder="1" applyFont="1">
      <alignment horizontal="center" shrinkToFit="0" vertical="top" wrapText="0"/>
    </xf>
    <xf borderId="69" fillId="0" fontId="24" numFmtId="0" xfId="0" applyAlignment="1" applyBorder="1" applyFont="1">
      <alignment horizontal="center" shrinkToFit="0" vertical="top" wrapText="0"/>
    </xf>
    <xf borderId="70" fillId="2" fontId="1" numFmtId="0" xfId="0" applyAlignment="1" applyBorder="1" applyFont="1">
      <alignment horizontal="center" shrinkToFit="0" vertical="center" wrapText="0"/>
    </xf>
    <xf borderId="29" fillId="3" fontId="1" numFmtId="0" xfId="0" applyAlignment="1" applyBorder="1" applyFont="1">
      <alignment horizontal="center" shrinkToFit="0" vertical="center" wrapText="0"/>
    </xf>
    <xf borderId="37" fillId="0" fontId="18" numFmtId="0" xfId="0" applyAlignment="1" applyBorder="1" applyFont="1">
      <alignment horizontal="left" shrinkToFit="0" vertical="center" wrapText="0"/>
    </xf>
    <xf borderId="59" fillId="4" fontId="18" numFmtId="0" xfId="0" applyAlignment="1" applyBorder="1" applyFont="1">
      <alignment horizontal="left" shrinkToFit="0" vertical="center" wrapText="0"/>
    </xf>
    <xf borderId="59" fillId="2" fontId="6" numFmtId="3" xfId="0" applyAlignment="1" applyBorder="1" applyFont="1" applyNumberFormat="1">
      <alignment horizontal="center" shrinkToFit="0" vertical="center" wrapText="0"/>
    </xf>
    <xf borderId="35" fillId="2" fontId="6" numFmtId="0" xfId="0" applyAlignment="1" applyBorder="1" applyFont="1">
      <alignment horizontal="center" shrinkToFit="0" vertical="center" wrapText="0"/>
    </xf>
    <xf borderId="71" fillId="2" fontId="19" numFmtId="3" xfId="0" applyAlignment="1" applyBorder="1" applyFont="1" applyNumberFormat="1">
      <alignment horizontal="center" shrinkToFit="0" vertical="center" wrapText="0"/>
    </xf>
    <xf borderId="72" fillId="2" fontId="6" numFmtId="164" xfId="0" applyAlignment="1" applyBorder="1" applyFont="1" applyNumberFormat="1">
      <alignment horizontal="center" shrinkToFit="0" vertical="center" wrapText="0"/>
    </xf>
    <xf borderId="1" fillId="2" fontId="12" numFmtId="165" xfId="0" applyAlignment="1" applyBorder="1" applyFont="1" applyNumberFormat="1">
      <alignment shrinkToFit="0" vertical="center" wrapText="0"/>
    </xf>
    <xf borderId="59" fillId="6" fontId="18" numFmtId="0" xfId="0" applyAlignment="1" applyBorder="1" applyFill="1" applyFont="1">
      <alignment horizontal="left" shrinkToFit="0" vertical="center" wrapText="0"/>
    </xf>
    <xf borderId="59" fillId="6" fontId="25" numFmtId="0" xfId="0" applyAlignment="1" applyBorder="1" applyFont="1">
      <alignment horizontal="left" shrinkToFit="0" vertical="center" wrapText="0"/>
    </xf>
    <xf borderId="32" fillId="7" fontId="6" numFmtId="0" xfId="0" applyAlignment="1" applyBorder="1" applyFill="1" applyFont="1">
      <alignment horizontal="center" shrinkToFit="0" vertical="center" wrapText="0"/>
    </xf>
    <xf borderId="59" fillId="2" fontId="18" numFmtId="0" xfId="0" applyAlignment="1" applyBorder="1" applyFont="1">
      <alignment horizontal="left" shrinkToFit="0" vertical="center" wrapText="0"/>
    </xf>
    <xf borderId="59" fillId="2" fontId="18" numFmtId="0" xfId="0" applyAlignment="1" applyBorder="1" applyFont="1">
      <alignment horizontal="center" shrinkToFit="0" vertical="center" wrapText="0"/>
    </xf>
    <xf borderId="73" fillId="5" fontId="6" numFmtId="0" xfId="0" applyAlignment="1" applyBorder="1" applyFont="1">
      <alignment horizontal="left" shrinkToFit="0" vertical="center" wrapText="0"/>
    </xf>
    <xf borderId="74" fillId="0" fontId="13" numFmtId="0" xfId="0" applyAlignment="1" applyBorder="1" applyFont="1">
      <alignment vertical="center"/>
    </xf>
    <xf borderId="75" fillId="5" fontId="6" numFmtId="0" xfId="0" applyAlignment="1" applyBorder="1" applyFont="1">
      <alignment horizontal="left" shrinkToFit="0" vertical="center" wrapText="0"/>
    </xf>
    <xf borderId="76" fillId="0" fontId="13" numFmtId="0" xfId="0" applyAlignment="1" applyBorder="1" applyFont="1">
      <alignment vertical="center"/>
    </xf>
    <xf borderId="77" fillId="5" fontId="6" numFmtId="0" xfId="0" applyAlignment="1" applyBorder="1" applyFont="1">
      <alignment horizontal="left" shrinkToFit="0" vertical="center" wrapText="0"/>
    </xf>
    <xf borderId="78" fillId="0" fontId="13" numFmtId="0" xfId="0" applyAlignment="1" applyBorder="1" applyFont="1">
      <alignment vertical="center"/>
    </xf>
    <xf borderId="52" fillId="2" fontId="11" numFmtId="0" xfId="0" applyAlignment="1" applyBorder="1" applyFont="1">
      <alignment horizontal="right" shrinkToFit="0" vertical="center" wrapText="0"/>
    </xf>
    <xf borderId="79" fillId="0" fontId="13" numFmtId="0" xfId="0" applyAlignment="1" applyBorder="1" applyFont="1">
      <alignment vertical="center"/>
    </xf>
    <xf borderId="16" fillId="2" fontId="26" numFmtId="0" xfId="0" applyAlignment="1" applyBorder="1" applyFont="1">
      <alignment horizontal="center" shrinkToFit="0" vertical="top" wrapText="1"/>
    </xf>
    <xf borderId="17" fillId="2" fontId="26" numFmtId="0" xfId="0" applyAlignment="1" applyBorder="1" applyFont="1">
      <alignment horizontal="center" shrinkToFit="0" vertical="top" wrapText="0"/>
    </xf>
    <xf borderId="70" fillId="2" fontId="16" numFmtId="0" xfId="0" applyAlignment="1" applyBorder="1" applyFont="1">
      <alignment horizontal="center" shrinkToFit="0" vertical="center" wrapText="0"/>
    </xf>
    <xf borderId="59" fillId="2" fontId="19" numFmtId="3" xfId="0" applyAlignment="1" applyBorder="1" applyFont="1" applyNumberFormat="1">
      <alignment horizontal="center" shrinkToFit="0" vertical="center" wrapText="0"/>
    </xf>
    <xf borderId="1" fillId="2" fontId="20" numFmtId="0" xfId="0" applyAlignment="1" applyBorder="1" applyFont="1">
      <alignment shrinkToFit="0" vertical="center" wrapText="0"/>
    </xf>
    <xf borderId="32" fillId="2" fontId="18" numFmtId="0" xfId="0" applyAlignment="1" applyBorder="1" applyFont="1">
      <alignment horizontal="left" shrinkToFit="0" vertical="center" wrapText="1"/>
    </xf>
    <xf borderId="1" fillId="2" fontId="10" numFmtId="0" xfId="0" applyAlignment="1" applyBorder="1" applyFont="1">
      <alignment shrinkToFit="0" vertical="center" wrapText="0"/>
    </xf>
    <xf borderId="33" fillId="2" fontId="21" numFmtId="3" xfId="0" applyAlignment="1" applyBorder="1" applyFont="1" applyNumberFormat="1">
      <alignment horizontal="center" shrinkToFit="0" vertical="center" wrapText="0"/>
    </xf>
    <xf borderId="32" fillId="2" fontId="21" numFmtId="3" xfId="0" applyAlignment="1" applyBorder="1" applyFont="1" applyNumberFormat="1">
      <alignment horizontal="center" shrinkToFit="0" vertical="center" wrapText="0"/>
    </xf>
    <xf borderId="1" fillId="2" fontId="17" numFmtId="0" xfId="0" applyAlignment="1" applyBorder="1" applyFont="1">
      <alignment horizontal="center" shrinkToFit="0" vertical="center" wrapText="0"/>
    </xf>
    <xf borderId="80" fillId="2" fontId="18" numFmtId="0" xfId="0" applyAlignment="1" applyBorder="1" applyFont="1">
      <alignment horizontal="left" shrinkToFit="0" vertical="center" wrapText="0"/>
    </xf>
    <xf borderId="81" fillId="2" fontId="6" numFmtId="0" xfId="0" applyAlignment="1" applyBorder="1" applyFont="1">
      <alignment horizontal="center" shrinkToFit="0" vertical="center" wrapText="0"/>
    </xf>
    <xf borderId="80" fillId="2" fontId="6" numFmtId="0" xfId="0" applyAlignment="1" applyBorder="1" applyFont="1">
      <alignment horizontal="center" shrinkToFit="0" vertical="center" wrapText="0"/>
    </xf>
    <xf borderId="82" fillId="2" fontId="6" numFmtId="0" xfId="0" applyAlignment="1" applyBorder="1" applyFont="1">
      <alignment horizontal="center" shrinkToFit="0" vertical="center" wrapText="0"/>
    </xf>
    <xf borderId="71" fillId="2" fontId="6" numFmtId="164" xfId="0" applyAlignment="1" applyBorder="1" applyFont="1" applyNumberFormat="1">
      <alignment horizontal="center" shrinkToFit="0" vertical="center" wrapText="0"/>
    </xf>
    <xf borderId="12" fillId="2" fontId="14" numFmtId="0" xfId="0" applyAlignment="1" applyBorder="1" applyFont="1">
      <alignment horizontal="center" shrinkToFit="0" vertical="top" wrapText="0"/>
    </xf>
    <xf borderId="19" fillId="0" fontId="16" numFmtId="0" xfId="0" applyAlignment="1" applyBorder="1" applyFont="1">
      <alignment horizontal="center" shrinkToFit="0" vertical="top" wrapText="0"/>
    </xf>
    <xf borderId="83" fillId="2" fontId="15" numFmtId="0" xfId="0" applyAlignment="1" applyBorder="1" applyFont="1">
      <alignment horizontal="center" shrinkToFit="0" vertical="center" wrapText="0"/>
    </xf>
    <xf borderId="1" fillId="2" fontId="15" numFmtId="0" xfId="0" applyAlignment="1" applyBorder="1" applyFont="1">
      <alignment horizontal="center" shrinkToFit="0" vertical="center" wrapText="0"/>
    </xf>
    <xf borderId="71" fillId="2" fontId="21" numFmtId="3" xfId="0" applyAlignment="1" applyBorder="1" applyFont="1" applyNumberFormat="1">
      <alignment horizontal="center" shrinkToFit="0" vertical="center" wrapText="0"/>
    </xf>
    <xf borderId="49" fillId="5" fontId="18" numFmtId="0" xfId="0" applyAlignment="1" applyBorder="1" applyFont="1">
      <alignment horizontal="left" shrinkToFit="0" vertical="center" wrapText="0"/>
    </xf>
    <xf borderId="84" fillId="5" fontId="6" numFmtId="0" xfId="0" applyAlignment="1" applyBorder="1" applyFont="1">
      <alignment shrinkToFit="0" vertical="center" wrapText="0"/>
    </xf>
    <xf borderId="85" fillId="0" fontId="13" numFmtId="0" xfId="0" applyAlignment="1" applyBorder="1" applyFont="1">
      <alignment vertical="center"/>
    </xf>
    <xf borderId="16" fillId="2" fontId="11" numFmtId="0" xfId="0" applyAlignment="1" applyBorder="1" applyFont="1">
      <alignment horizontal="center" shrinkToFit="0" vertical="center" wrapText="0"/>
    </xf>
    <xf borderId="86" fillId="2" fontId="15" numFmtId="0" xfId="0" applyAlignment="1" applyBorder="1" applyFont="1">
      <alignment horizontal="center" shrinkToFit="0" vertical="top" wrapText="1"/>
    </xf>
    <xf borderId="70" fillId="2" fontId="15" numFmtId="0" xfId="0" applyAlignment="1" applyBorder="1" applyFont="1">
      <alignment horizontal="center" shrinkToFit="0" vertical="center" wrapText="0"/>
    </xf>
    <xf borderId="37" fillId="0" fontId="19" numFmtId="3" xfId="0" applyAlignment="1" applyBorder="1" applyFont="1" applyNumberFormat="1">
      <alignment horizontal="center" shrinkToFit="0" vertical="center" wrapText="0"/>
    </xf>
    <xf borderId="34" fillId="0" fontId="19" numFmtId="3" xfId="0" applyAlignment="1" applyBorder="1" applyFont="1" applyNumberFormat="1">
      <alignment horizontal="center" shrinkToFit="0" vertical="center" wrapText="0"/>
    </xf>
    <xf borderId="33" fillId="0" fontId="19" numFmtId="166" xfId="0" applyAlignment="1" applyBorder="1" applyFont="1" applyNumberFormat="1">
      <alignment horizontal="center" shrinkToFit="0" vertical="center" wrapText="0"/>
    </xf>
    <xf borderId="1" fillId="2" fontId="11" numFmtId="0" xfId="0" applyAlignment="1" applyBorder="1" applyFont="1">
      <alignment horizontal="right" shrinkToFit="0" vertical="center" wrapText="0"/>
    </xf>
    <xf borderId="87" fillId="2" fontId="19" numFmtId="3" xfId="0" applyAlignment="1" applyBorder="1" applyFont="1" applyNumberFormat="1">
      <alignment horizontal="center" shrinkToFit="0" vertical="center" wrapText="0"/>
    </xf>
    <xf borderId="52" fillId="2" fontId="1" numFmtId="0" xfId="0" applyAlignment="1" applyBorder="1" applyFont="1">
      <alignment shrinkToFit="0" vertical="center" wrapText="0"/>
    </xf>
    <xf borderId="1" fillId="2" fontId="10" numFmtId="0" xfId="0" applyAlignment="1" applyBorder="1" applyFont="1">
      <alignment horizontal="left" shrinkToFit="0" vertical="center" wrapText="0"/>
    </xf>
    <xf borderId="10" fillId="2" fontId="11" numFmtId="0" xfId="0" applyAlignment="1" applyBorder="1" applyFont="1">
      <alignment horizontal="center" shrinkToFit="0" vertical="top" wrapText="1"/>
    </xf>
    <xf borderId="33" fillId="2" fontId="27" numFmtId="3" xfId="0" applyAlignment="1" applyBorder="1" applyFont="1" applyNumberFormat="1">
      <alignment horizontal="center" shrinkToFit="0" vertical="center" wrapText="0"/>
    </xf>
    <xf borderId="59" fillId="2" fontId="27" numFmtId="1" xfId="0" applyAlignment="1" applyBorder="1" applyFont="1" applyNumberFormat="1">
      <alignment horizontal="center" shrinkToFit="0" vertical="center" wrapText="0"/>
    </xf>
    <xf borderId="1" fillId="2" fontId="23" numFmtId="0" xfId="0" applyAlignment="1" applyBorder="1" applyFont="1">
      <alignment shrinkToFit="0" vertical="center" wrapText="0"/>
    </xf>
    <xf borderId="1" fillId="5" fontId="1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horizontal="left" shrinkToFit="0" vertical="center" wrapText="0"/>
    </xf>
    <xf borderId="8" fillId="2" fontId="14" numFmtId="0" xfId="0" applyAlignment="1" applyBorder="1" applyFont="1">
      <alignment horizontal="center" shrinkToFit="0" vertical="top" wrapText="0"/>
    </xf>
    <xf borderId="16" fillId="2" fontId="15" numFmtId="0" xfId="0" applyAlignment="1" applyBorder="1" applyFont="1">
      <alignment horizontal="center" shrinkToFit="0" vertical="top" wrapText="1"/>
    </xf>
    <xf borderId="0" fillId="0" fontId="28" numFmtId="0" xfId="0" applyAlignment="1" applyFont="1">
      <alignment horizontal="center" shrinkToFit="0" vertical="center" wrapText="0"/>
    </xf>
    <xf borderId="88" fillId="2" fontId="15" numFmtId="0" xfId="0" applyAlignment="1" applyBorder="1" applyFont="1">
      <alignment horizontal="center" shrinkToFit="0" vertical="center" wrapText="0"/>
    </xf>
    <xf borderId="57" fillId="2" fontId="27" numFmtId="3" xfId="0" applyAlignment="1" applyBorder="1" applyFont="1" applyNumberFormat="1">
      <alignment horizontal="center" shrinkToFit="0" vertical="center" wrapText="0"/>
    </xf>
    <xf borderId="57" fillId="2" fontId="29" numFmtId="3" xfId="0" applyAlignment="1" applyBorder="1" applyFont="1" applyNumberFormat="1">
      <alignment horizontal="center" shrinkToFit="0" vertical="center" wrapText="0"/>
    </xf>
    <xf borderId="1" fillId="2" fontId="6" numFmtId="0" xfId="0" applyAlignment="1" applyBorder="1" applyFont="1">
      <alignment shrinkToFit="0" vertical="center" wrapText="0"/>
    </xf>
    <xf borderId="1" fillId="2" fontId="6" numFmtId="0" xfId="0" applyAlignment="1" applyBorder="1" applyFont="1">
      <alignment horizontal="left" shrinkToFit="0" vertical="center" wrapText="0"/>
    </xf>
    <xf borderId="66" fillId="2" fontId="7" numFmtId="0" xfId="0" applyAlignment="1" applyBorder="1" applyFont="1">
      <alignment horizontal="right" readingOrder="0" shrinkToFit="0" vertical="center" wrapText="0"/>
    </xf>
    <xf borderId="89" fillId="0" fontId="13" numFmtId="0" xfId="0" applyAlignment="1" applyBorder="1" applyFont="1">
      <alignment vertical="center"/>
    </xf>
    <xf borderId="90" fillId="0" fontId="13" numFmtId="0" xfId="0" applyAlignment="1" applyBorder="1" applyFont="1">
      <alignment vertical="center"/>
    </xf>
    <xf borderId="1" fillId="2" fontId="30" numFmtId="0" xfId="0" applyAlignment="1" applyBorder="1" applyFont="1">
      <alignment horizontal="center" shrinkToFit="0" vertical="center" wrapText="0"/>
    </xf>
    <xf borderId="1" fillId="2" fontId="31" numFmtId="0" xfId="0" applyAlignment="1" applyBorder="1" applyFont="1">
      <alignment shrinkToFit="0" vertical="center" wrapText="0"/>
    </xf>
    <xf borderId="1" fillId="2" fontId="18" numFmtId="0" xfId="0" applyAlignment="1" applyBorder="1" applyFont="1">
      <alignment horizontal="left" shrinkToFit="0" vertical="center" wrapText="0"/>
    </xf>
    <xf borderId="1" fillId="2" fontId="18" numFmtId="0" xfId="0" applyAlignment="1" applyBorder="1" applyFont="1">
      <alignment horizontal="center" shrinkToFit="0" vertical="center" wrapText="0"/>
    </xf>
    <xf borderId="1" fillId="2" fontId="32" numFmtId="0" xfId="0" applyAlignment="1" applyBorder="1" applyFont="1">
      <alignment shrinkToFit="0" vertical="center" wrapText="0"/>
    </xf>
    <xf borderId="3" fillId="2" fontId="18" numFmtId="0" xfId="0" applyAlignment="1" applyBorder="1" applyFont="1">
      <alignment horizontal="left" shrinkToFit="0" vertical="center" wrapText="0"/>
    </xf>
    <xf borderId="6" fillId="2" fontId="18" numFmtId="0" xfId="0" applyAlignment="1" applyBorder="1" applyFont="1">
      <alignment horizontal="center" shrinkToFit="0" vertical="center" wrapText="1"/>
    </xf>
    <xf borderId="8" fillId="2" fontId="18" numFmtId="0" xfId="0" applyAlignment="1" applyBorder="1" applyFont="1">
      <alignment horizontal="center" shrinkToFit="0" vertical="center" wrapText="1"/>
    </xf>
    <xf borderId="91" fillId="2" fontId="6" numFmtId="0" xfId="0" applyAlignment="1" applyBorder="1" applyFont="1">
      <alignment horizontal="center" shrinkToFit="0" vertical="center" wrapText="1"/>
    </xf>
    <xf borderId="63" fillId="2" fontId="25" numFmtId="0" xfId="0" applyAlignment="1" applyBorder="1" applyFont="1">
      <alignment horizontal="center" shrinkToFit="0" vertical="center" wrapText="0"/>
    </xf>
    <xf borderId="92" fillId="2" fontId="18" numFmtId="0" xfId="0" applyAlignment="1" applyBorder="1" applyFont="1">
      <alignment horizontal="center" shrinkToFit="0" vertical="center" wrapText="0"/>
    </xf>
    <xf borderId="93" fillId="2" fontId="18" numFmtId="0" xfId="0" applyAlignment="1" applyBorder="1" applyFont="1">
      <alignment horizontal="center" shrinkToFit="0" vertical="center" wrapText="0"/>
    </xf>
    <xf borderId="12" fillId="2" fontId="18" numFmtId="0" xfId="0" applyAlignment="1" applyBorder="1" applyFont="1">
      <alignment horizontal="center" shrinkToFit="0" vertical="center" wrapText="0"/>
    </xf>
    <xf borderId="1" fillId="2" fontId="33" numFmtId="0" xfId="0" applyAlignment="1" applyBorder="1" applyFont="1">
      <alignment shrinkToFit="0" vertical="center" wrapText="0"/>
    </xf>
    <xf borderId="94" fillId="0" fontId="13" numFmtId="0" xfId="0" applyAlignment="1" applyBorder="1" applyFont="1">
      <alignment vertical="center"/>
    </xf>
    <xf borderId="86" fillId="2" fontId="18" numFmtId="0" xfId="0" applyAlignment="1" applyBorder="1" applyFont="1">
      <alignment horizontal="center" shrinkToFit="0" vertical="center" wrapText="1"/>
    </xf>
    <xf borderId="18" fillId="2" fontId="18" numFmtId="0" xfId="0" applyAlignment="1" applyBorder="1" applyFont="1">
      <alignment horizontal="center" shrinkToFit="0" vertical="center" wrapText="0"/>
    </xf>
    <xf borderId="95" fillId="0" fontId="13" numFmtId="0" xfId="0" applyAlignment="1" applyBorder="1" applyFont="1">
      <alignment vertical="center"/>
    </xf>
    <xf borderId="66" fillId="2" fontId="18" numFmtId="0" xfId="0" applyAlignment="1" applyBorder="1" applyFont="1">
      <alignment horizontal="center" shrinkToFit="0" vertical="center" wrapText="0"/>
    </xf>
    <xf borderId="96" fillId="2" fontId="18" numFmtId="0" xfId="0" applyAlignment="1" applyBorder="1" applyFont="1">
      <alignment horizontal="center" shrinkToFit="0" vertical="center" wrapText="0"/>
    </xf>
    <xf borderId="70" fillId="2" fontId="18" numFmtId="0" xfId="0" applyAlignment="1" applyBorder="1" applyFont="1">
      <alignment horizontal="center" shrinkToFit="0" vertical="center" wrapText="0"/>
    </xf>
    <xf borderId="24" fillId="2" fontId="18" numFmtId="0" xfId="0" applyAlignment="1" applyBorder="1" applyFont="1">
      <alignment horizontal="left" shrinkToFit="0" vertical="center" wrapText="0"/>
    </xf>
    <xf borderId="23" fillId="2" fontId="18" numFmtId="0" xfId="0" applyAlignment="1" applyBorder="1" applyFont="1">
      <alignment horizontal="center" shrinkToFit="0" vertical="center" wrapText="0"/>
    </xf>
    <xf borderId="24" fillId="2" fontId="18" numFmtId="0" xfId="0" applyAlignment="1" applyBorder="1" applyFont="1">
      <alignment horizontal="center" shrinkToFit="0" vertical="center" wrapText="0"/>
    </xf>
    <xf borderId="23" fillId="2" fontId="6" numFmtId="0" xfId="0" applyAlignment="1" applyBorder="1" applyFont="1">
      <alignment horizontal="center" shrinkToFit="0" vertical="center" wrapText="0"/>
    </xf>
    <xf borderId="24" fillId="2" fontId="6" numFmtId="0" xfId="0" applyAlignment="1" applyBorder="1" applyFont="1">
      <alignment horizontal="center" shrinkToFit="0" vertical="center" wrapText="0"/>
    </xf>
    <xf borderId="25" fillId="2" fontId="18" numFmtId="0" xfId="0" applyAlignment="1" applyBorder="1" applyFont="1">
      <alignment horizontal="center" shrinkToFit="0" vertical="center" wrapText="0"/>
    </xf>
    <xf borderId="97" fillId="0" fontId="13" numFmtId="0" xfId="0" applyAlignment="1" applyBorder="1" applyFont="1">
      <alignment vertical="center"/>
    </xf>
    <xf borderId="98" fillId="2" fontId="15" numFmtId="0" xfId="0" applyAlignment="1" applyBorder="1" applyFont="1">
      <alignment horizontal="center" shrinkToFit="0" vertical="center" wrapText="0"/>
    </xf>
    <xf borderId="17" fillId="2" fontId="15" numFmtId="0" xfId="0" applyAlignment="1" applyBorder="1" applyFont="1">
      <alignment horizontal="center" shrinkToFit="0" vertical="center" wrapText="0"/>
    </xf>
    <xf borderId="29" fillId="2" fontId="18" numFmtId="0" xfId="0" applyAlignment="1" applyBorder="1" applyFont="1">
      <alignment horizontal="center" shrinkToFit="0" vertical="center" wrapText="0"/>
    </xf>
    <xf borderId="30" fillId="2" fontId="18" numFmtId="0" xfId="0" applyAlignment="1" applyBorder="1" applyFont="1">
      <alignment horizontal="center" shrinkToFit="0" vertical="center" wrapText="0"/>
    </xf>
    <xf borderId="31" fillId="2" fontId="18" numFmtId="0" xfId="0" applyAlignment="1" applyBorder="1" applyFont="1">
      <alignment horizontal="center" shrinkToFit="0" vertical="center" wrapText="0"/>
    </xf>
    <xf borderId="99" fillId="2" fontId="6" numFmtId="0" xfId="0" applyAlignment="1" applyBorder="1" applyFont="1">
      <alignment horizontal="center" shrinkToFit="0" vertical="center" wrapText="0"/>
    </xf>
    <xf borderId="100" fillId="2" fontId="19" numFmtId="3" xfId="0" applyAlignment="1" applyBorder="1" applyFont="1" applyNumberFormat="1">
      <alignment horizontal="center" shrinkToFit="0" vertical="center" wrapText="0"/>
    </xf>
    <xf borderId="99" fillId="2" fontId="19" numFmtId="3" xfId="0" applyAlignment="1" applyBorder="1" applyFont="1" applyNumberFormat="1">
      <alignment horizontal="center" shrinkToFit="0" vertical="center" wrapText="0"/>
    </xf>
    <xf borderId="52" fillId="2" fontId="6" numFmtId="0" xfId="0" applyAlignment="1" applyBorder="1" applyFont="1">
      <alignment shrinkToFit="0" vertical="center" wrapText="0"/>
    </xf>
    <xf borderId="52" fillId="2" fontId="18" numFmtId="0" xfId="0" applyAlignment="1" applyBorder="1" applyFont="1">
      <alignment shrinkToFit="0" vertical="center" wrapText="0"/>
    </xf>
    <xf borderId="6" fillId="2" fontId="25" numFmtId="0" xfId="0" applyAlignment="1" applyBorder="1" applyFont="1">
      <alignment horizontal="center" shrinkToFit="0" vertical="center" wrapText="0"/>
    </xf>
    <xf borderId="86" fillId="2" fontId="18" numFmtId="0" xfId="0" applyAlignment="1" applyBorder="1" applyFont="1">
      <alignment horizontal="center" shrinkToFit="0" vertical="center" wrapText="0"/>
    </xf>
    <xf borderId="59" fillId="2" fontId="19" numFmtId="166" xfId="0" applyAlignment="1" applyBorder="1" applyFont="1" applyNumberFormat="1">
      <alignment horizontal="center" shrinkToFit="0" vertical="center" wrapText="0"/>
    </xf>
    <xf borderId="1" fillId="2" fontId="25" numFmtId="0" xfId="0" applyAlignment="1" applyBorder="1" applyFont="1">
      <alignment horizontal="left" shrinkToFit="0" vertical="center" wrapText="1"/>
    </xf>
    <xf borderId="87" fillId="2" fontId="21" numFmtId="3" xfId="0" applyAlignment="1" applyBorder="1" applyFont="1" applyNumberFormat="1">
      <alignment horizontal="center" shrinkToFit="0" vertical="center" wrapText="0"/>
    </xf>
    <xf borderId="93" fillId="2" fontId="19" numFmtId="166" xfId="0" applyAlignment="1" applyBorder="1" applyFont="1" applyNumberFormat="1">
      <alignment horizontal="center" shrinkToFit="0" vertical="center" wrapText="0"/>
    </xf>
    <xf borderId="101" fillId="2" fontId="19" numFmtId="166" xfId="0" applyAlignment="1" applyBorder="1" applyFont="1" applyNumberFormat="1">
      <alignment horizontal="center" shrinkToFit="0" vertical="center" wrapText="0"/>
    </xf>
    <xf borderId="102" fillId="2" fontId="19" numFmtId="166" xfId="0" applyAlignment="1" applyBorder="1" applyFont="1" applyNumberFormat="1">
      <alignment horizontal="center" shrinkToFit="0" vertical="center" wrapText="0"/>
    </xf>
    <xf borderId="103" fillId="2" fontId="19" numFmtId="166" xfId="0" applyAlignment="1" applyBorder="1" applyFont="1" applyNumberFormat="1">
      <alignment horizontal="center" shrinkToFit="0" vertical="center" wrapText="0"/>
    </xf>
    <xf borderId="1" fillId="2" fontId="34" numFmtId="0" xfId="0" applyAlignment="1" applyBorder="1" applyFont="1">
      <alignment horizontal="center" shrinkToFit="0" vertical="center" wrapText="0"/>
    </xf>
    <xf borderId="87" fillId="2" fontId="6" numFmtId="3" xfId="0" applyAlignment="1" applyBorder="1" applyFont="1" applyNumberFormat="1">
      <alignment horizontal="center" shrinkToFit="0" vertical="center" wrapText="0"/>
    </xf>
    <xf borderId="104" fillId="2" fontId="18" numFmtId="0" xfId="0" applyAlignment="1" applyBorder="1" applyFont="1">
      <alignment horizontal="center" shrinkToFit="0" vertical="center" wrapText="0"/>
    </xf>
    <xf borderId="105" fillId="2" fontId="18" numFmtId="0" xfId="0" applyAlignment="1" applyBorder="1" applyFont="1">
      <alignment horizontal="center" shrinkToFit="0" vertical="center" wrapText="0"/>
    </xf>
    <xf borderId="70" fillId="2" fontId="30" numFmtId="0" xfId="0" applyAlignment="1" applyBorder="1" applyFont="1">
      <alignment horizontal="center" shrinkToFit="0" vertical="center" wrapText="0"/>
    </xf>
    <xf borderId="83" fillId="2" fontId="30" numFmtId="0" xfId="0" applyAlignment="1" applyBorder="1" applyFont="1">
      <alignment horizontal="center" shrinkToFit="0" vertical="center" wrapText="0"/>
    </xf>
    <xf borderId="33" fillId="2" fontId="19" numFmtId="166" xfId="0" applyAlignment="1" applyBorder="1" applyFont="1" applyNumberFormat="1">
      <alignment horizontal="center" shrinkToFit="0" vertical="center" wrapText="0"/>
    </xf>
    <xf borderId="87" fillId="2" fontId="19" numFmtId="166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<Relationship Id="rId3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Relationship Id="rId2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Relationship Id="rId2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2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3.png"/><Relationship Id="rId3" Type="http://schemas.openxmlformats.org/officeDocument/2006/relationships/image" Target="../media/image14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16.png"/><Relationship Id="rId5" Type="http://schemas.openxmlformats.org/officeDocument/2006/relationships/image" Target="../media/image15.png"/><Relationship Id="rId6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400050</xdr:colOff>
      <xdr:row>2</xdr:row>
      <xdr:rowOff>114300</xdr:rowOff>
    </xdr:from>
    <xdr:ext cx="1771650" cy="1181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1</xdr:row>
      <xdr:rowOff>28575</xdr:rowOff>
    </xdr:from>
    <xdr:ext cx="1266825" cy="14668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723900</xdr:colOff>
      <xdr:row>1</xdr:row>
      <xdr:rowOff>0</xdr:rowOff>
    </xdr:from>
    <xdr:ext cx="1057275" cy="153352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324100" cy="7239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2</xdr:row>
      <xdr:rowOff>85725</xdr:rowOff>
    </xdr:from>
    <xdr:ext cx="1314450" cy="12001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2</xdr:row>
      <xdr:rowOff>200025</xdr:rowOff>
    </xdr:from>
    <xdr:ext cx="2028825" cy="111442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1562100</xdr:colOff>
      <xdr:row>0</xdr:row>
      <xdr:rowOff>142875</xdr:rowOff>
    </xdr:from>
    <xdr:ext cx="666750" cy="188595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142875</xdr:rowOff>
    </xdr:from>
    <xdr:ext cx="676275" cy="1885950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400050</xdr:colOff>
      <xdr:row>2</xdr:row>
      <xdr:rowOff>152400</xdr:rowOff>
    </xdr:from>
    <xdr:ext cx="1847850" cy="1123950"/>
    <xdr:pic>
      <xdr:nvPicPr>
        <xdr:cNvPr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2</xdr:row>
      <xdr:rowOff>209550</xdr:rowOff>
    </xdr:from>
    <xdr:ext cx="1619250" cy="110490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2</xdr:row>
      <xdr:rowOff>66675</xdr:rowOff>
    </xdr:from>
    <xdr:ext cx="1657350" cy="1133475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105025" cy="704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514350</xdr:colOff>
      <xdr:row>1</xdr:row>
      <xdr:rowOff>47625</xdr:rowOff>
    </xdr:from>
    <xdr:ext cx="1762125" cy="1352550"/>
    <xdr:pic>
      <xdr:nvPicPr>
        <xdr:cNvPr id="0" name="image1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0</xdr:rowOff>
    </xdr:from>
    <xdr:ext cx="1924050" cy="704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552450</xdr:colOff>
      <xdr:row>1</xdr:row>
      <xdr:rowOff>47625</xdr:rowOff>
    </xdr:from>
    <xdr:ext cx="1571625" cy="1352550"/>
    <xdr:pic>
      <xdr:nvPicPr>
        <xdr:cNvPr id="0" name="image1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171450</xdr:colOff>
      <xdr:row>1</xdr:row>
      <xdr:rowOff>66675</xdr:rowOff>
    </xdr:from>
    <xdr:ext cx="2114550" cy="1314450"/>
    <xdr:pic>
      <xdr:nvPicPr>
        <xdr:cNvPr id="0" name="image1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1476375</xdr:colOff>
      <xdr:row>45</xdr:row>
      <xdr:rowOff>9525</xdr:rowOff>
    </xdr:from>
    <xdr:ext cx="895350" cy="2066925"/>
    <xdr:pic>
      <xdr:nvPicPr>
        <xdr:cNvPr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46</xdr:row>
      <xdr:rowOff>38100</xdr:rowOff>
    </xdr:from>
    <xdr:ext cx="904875" cy="1819275"/>
    <xdr:pic>
      <xdr:nvPicPr>
        <xdr:cNvPr id="0" name="image1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895350</xdr:colOff>
      <xdr:row>2</xdr:row>
      <xdr:rowOff>38100</xdr:rowOff>
    </xdr:from>
    <xdr:ext cx="1162050" cy="1933575"/>
    <xdr:pic>
      <xdr:nvPicPr>
        <xdr:cNvPr id="0" name="image1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109</xdr:row>
      <xdr:rowOff>352425</xdr:rowOff>
    </xdr:from>
    <xdr:ext cx="1304925" cy="1866900"/>
    <xdr:pic>
      <xdr:nvPicPr>
        <xdr:cNvPr id="0" name="image1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139</xdr:row>
      <xdr:rowOff>57150</xdr:rowOff>
    </xdr:from>
    <xdr:ext cx="1543050" cy="1590675"/>
    <xdr:pic>
      <xdr:nvPicPr>
        <xdr:cNvPr id="0" name="image1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924050" cy="742950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3" width="9.44"/>
    <col customWidth="1" min="14" max="14" width="9.0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7"/>
      <c r="M4" s="8" t="s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11"/>
      <c r="J5" s="11"/>
      <c r="K5" s="11"/>
      <c r="L5" s="12"/>
      <c r="M5" s="1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13"/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5"/>
      <c r="L6" s="16"/>
      <c r="M6" s="17" t="s">
        <v>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6.75" customHeight="1">
      <c r="A7" s="18"/>
      <c r="B7" s="19"/>
      <c r="C7" s="20"/>
      <c r="D7" s="20"/>
      <c r="E7" s="20"/>
      <c r="F7" s="20"/>
      <c r="G7" s="20"/>
      <c r="H7" s="20"/>
      <c r="I7" s="20"/>
      <c r="J7" s="2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8.0" customHeight="1">
      <c r="A8" s="21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28" t="s">
        <v>7</v>
      </c>
      <c r="I8" s="26"/>
      <c r="J8" s="29" t="s">
        <v>8</v>
      </c>
      <c r="K8" s="30" t="s">
        <v>9</v>
      </c>
      <c r="L8" s="31" t="s">
        <v>10</v>
      </c>
      <c r="M8" s="32" t="s">
        <v>11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8.0" customHeight="1">
      <c r="A9" s="33" t="s">
        <v>12</v>
      </c>
      <c r="B9" s="34"/>
      <c r="C9" s="35"/>
      <c r="D9" s="36"/>
      <c r="E9" s="37" t="s">
        <v>13</v>
      </c>
      <c r="F9" s="38" t="s">
        <v>14</v>
      </c>
      <c r="G9" s="39"/>
      <c r="H9" s="40"/>
      <c r="I9" s="41"/>
      <c r="J9" s="42"/>
      <c r="K9" s="43"/>
      <c r="L9" s="44"/>
      <c r="M9" s="44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8.0" customHeight="1">
      <c r="A10" s="21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49" t="s">
        <v>20</v>
      </c>
      <c r="I10" s="50" t="s">
        <v>21</v>
      </c>
      <c r="J10" s="51"/>
      <c r="K10" s="52" t="s">
        <v>22</v>
      </c>
      <c r="L10" s="53" t="s">
        <v>23</v>
      </c>
      <c r="M10" s="54" t="s">
        <v>24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8.0" customHeight="1">
      <c r="A11" s="55"/>
      <c r="B11" s="56" t="s">
        <v>25</v>
      </c>
      <c r="C11" s="57">
        <v>0.75</v>
      </c>
      <c r="D11" s="58">
        <v>1.0</v>
      </c>
      <c r="E11" s="57">
        <v>9.0</v>
      </c>
      <c r="F11" s="58">
        <v>15.0</v>
      </c>
      <c r="G11" s="59" t="s">
        <v>26</v>
      </c>
      <c r="H11" s="60">
        <v>303.69314999999995</v>
      </c>
      <c r="I11" s="61">
        <v>288.09914999999995</v>
      </c>
      <c r="J11" s="57" t="s">
        <v>27</v>
      </c>
      <c r="K11" s="62">
        <v>2900.0</v>
      </c>
      <c r="L11" s="63">
        <v>27.0</v>
      </c>
      <c r="M11" s="64">
        <f t="shared" ref="M11:M12" si="1">0.495*0.27*0.34</f>
        <v>0.045441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8.0" customHeight="1">
      <c r="A12" s="65"/>
      <c r="B12" s="56" t="s">
        <v>28</v>
      </c>
      <c r="C12" s="57">
        <v>1.1</v>
      </c>
      <c r="D12" s="58">
        <v>1.5</v>
      </c>
      <c r="E12" s="57">
        <v>15.0</v>
      </c>
      <c r="F12" s="58">
        <v>16.5</v>
      </c>
      <c r="G12" s="59" t="s">
        <v>26</v>
      </c>
      <c r="H12" s="60">
        <v>318.78034499999995</v>
      </c>
      <c r="I12" s="61">
        <v>303.69314999999995</v>
      </c>
      <c r="J12" s="57" t="s">
        <v>27</v>
      </c>
      <c r="K12" s="62">
        <v>2900.0</v>
      </c>
      <c r="L12" s="63">
        <v>28.0</v>
      </c>
      <c r="M12" s="64">
        <f t="shared" si="1"/>
        <v>0.045441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8.0" customHeight="1">
      <c r="A13" s="21"/>
      <c r="B13" s="56" t="s">
        <v>29</v>
      </c>
      <c r="C13" s="57">
        <v>1.5</v>
      </c>
      <c r="D13" s="58">
        <v>2.0</v>
      </c>
      <c r="E13" s="57">
        <v>15.0</v>
      </c>
      <c r="F13" s="58">
        <v>18.5</v>
      </c>
      <c r="G13" s="59" t="s">
        <v>26</v>
      </c>
      <c r="H13" s="60">
        <v>365.28944999999993</v>
      </c>
      <c r="I13" s="61">
        <v>345.4070999999999</v>
      </c>
      <c r="J13" s="57" t="s">
        <v>27</v>
      </c>
      <c r="K13" s="62">
        <v>2900.0</v>
      </c>
      <c r="L13" s="63">
        <v>35.0</v>
      </c>
      <c r="M13" s="64">
        <f t="shared" ref="M13:M14" si="2">0.49*0.27*0.37</f>
        <v>0.048951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8.0" customHeight="1">
      <c r="A14" s="21"/>
      <c r="B14" s="56" t="s">
        <v>30</v>
      </c>
      <c r="C14" s="57">
        <v>2.2</v>
      </c>
      <c r="D14" s="58">
        <v>3.0</v>
      </c>
      <c r="E14" s="57">
        <v>15.0</v>
      </c>
      <c r="F14" s="58">
        <v>24.5</v>
      </c>
      <c r="G14" s="59" t="s">
        <v>26</v>
      </c>
      <c r="H14" s="60">
        <v>393.2806799999999</v>
      </c>
      <c r="I14" s="61">
        <v>366.3810299999999</v>
      </c>
      <c r="J14" s="57" t="s">
        <v>27</v>
      </c>
      <c r="K14" s="62">
        <v>2900.0</v>
      </c>
      <c r="L14" s="63">
        <v>37.0</v>
      </c>
      <c r="M14" s="64">
        <f t="shared" si="2"/>
        <v>0.048951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8.0" customHeight="1">
      <c r="A15" s="21"/>
      <c r="B15" s="56" t="s">
        <v>31</v>
      </c>
      <c r="C15" s="57">
        <v>3.0</v>
      </c>
      <c r="D15" s="58">
        <v>4.0</v>
      </c>
      <c r="E15" s="57">
        <v>15.0</v>
      </c>
      <c r="F15" s="58">
        <v>28.0</v>
      </c>
      <c r="G15" s="59" t="s">
        <v>26</v>
      </c>
      <c r="H15" s="60">
        <v>468.59969999999987</v>
      </c>
      <c r="I15" s="61">
        <v>412.92911999999995</v>
      </c>
      <c r="J15" s="57" t="s">
        <v>27</v>
      </c>
      <c r="K15" s="62">
        <v>2900.0</v>
      </c>
      <c r="L15" s="63">
        <v>41.0</v>
      </c>
      <c r="M15" s="64">
        <f>0.53*0.27*0.37</f>
        <v>0.052947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8.0" customHeight="1">
      <c r="A16" s="21"/>
      <c r="B16" s="56" t="s">
        <v>32</v>
      </c>
      <c r="C16" s="57">
        <v>3.0</v>
      </c>
      <c r="D16" s="58">
        <v>4.0</v>
      </c>
      <c r="E16" s="57">
        <v>15.0</v>
      </c>
      <c r="F16" s="58">
        <v>35.2</v>
      </c>
      <c r="G16" s="59" t="s">
        <v>26</v>
      </c>
      <c r="H16" s="60">
        <v>538.265895</v>
      </c>
      <c r="I16" s="61">
        <v>510.2746649999999</v>
      </c>
      <c r="J16" s="57" t="s">
        <v>27</v>
      </c>
      <c r="K16" s="62">
        <v>2900.0</v>
      </c>
      <c r="L16" s="62">
        <v>51.0</v>
      </c>
      <c r="M16" s="66">
        <f t="shared" ref="M16:M17" si="3">0.53*0.29*0.45</f>
        <v>0.069165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8.0" customHeight="1">
      <c r="A17" s="21"/>
      <c r="B17" s="56" t="s">
        <v>33</v>
      </c>
      <c r="C17" s="57">
        <v>4.0</v>
      </c>
      <c r="D17" s="58">
        <v>5.5</v>
      </c>
      <c r="E17" s="57">
        <v>15.0</v>
      </c>
      <c r="F17" s="58">
        <v>45.5</v>
      </c>
      <c r="G17" s="59" t="s">
        <v>26</v>
      </c>
      <c r="H17" s="60">
        <v>0.0</v>
      </c>
      <c r="I17" s="61">
        <v>553.4310599999999</v>
      </c>
      <c r="J17" s="57" t="s">
        <v>27</v>
      </c>
      <c r="K17" s="62">
        <v>2900.0</v>
      </c>
      <c r="L17" s="62">
        <v>53.0</v>
      </c>
      <c r="M17" s="66">
        <f t="shared" si="3"/>
        <v>0.069165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8.0" customHeight="1">
      <c r="A18" s="21"/>
      <c r="B18" s="56" t="s">
        <v>34</v>
      </c>
      <c r="C18" s="57">
        <v>5.5</v>
      </c>
      <c r="D18" s="58">
        <v>7.5</v>
      </c>
      <c r="E18" s="57">
        <v>15.0</v>
      </c>
      <c r="F18" s="58">
        <v>55.0</v>
      </c>
      <c r="G18" s="59" t="s">
        <v>26</v>
      </c>
      <c r="H18" s="60">
        <v>0.0</v>
      </c>
      <c r="I18" s="61">
        <v>801.9994199999999</v>
      </c>
      <c r="J18" s="57" t="s">
        <v>35</v>
      </c>
      <c r="K18" s="62">
        <v>2900.0</v>
      </c>
      <c r="L18" s="62">
        <v>76.0</v>
      </c>
      <c r="M18" s="66">
        <f t="shared" ref="M18:M21" si="4">0.64*0.35*0.46</f>
        <v>0.10304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8.0" customHeight="1">
      <c r="A19" s="21"/>
      <c r="B19" s="56" t="s">
        <v>36</v>
      </c>
      <c r="C19" s="57">
        <v>7.5</v>
      </c>
      <c r="D19" s="58">
        <v>10.0</v>
      </c>
      <c r="E19" s="57">
        <v>15.0</v>
      </c>
      <c r="F19" s="58">
        <v>66.0</v>
      </c>
      <c r="G19" s="59" t="s">
        <v>26</v>
      </c>
      <c r="H19" s="60">
        <v>0.0</v>
      </c>
      <c r="I19" s="61">
        <v>877.1624999999998</v>
      </c>
      <c r="J19" s="57" t="s">
        <v>35</v>
      </c>
      <c r="K19" s="62">
        <v>2900.0</v>
      </c>
      <c r="L19" s="62">
        <v>78.0</v>
      </c>
      <c r="M19" s="66">
        <f t="shared" si="4"/>
        <v>0.10304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8.0" customHeight="1">
      <c r="A20" s="67"/>
      <c r="B20" s="56" t="s">
        <v>37</v>
      </c>
      <c r="C20" s="57">
        <v>9.2</v>
      </c>
      <c r="D20" s="58">
        <v>12.5</v>
      </c>
      <c r="E20" s="57">
        <v>15.0</v>
      </c>
      <c r="F20" s="58">
        <v>72.0</v>
      </c>
      <c r="G20" s="59" t="s">
        <v>26</v>
      </c>
      <c r="H20" s="60">
        <v>0.0</v>
      </c>
      <c r="I20" s="61">
        <v>994.0785149999999</v>
      </c>
      <c r="J20" s="57" t="s">
        <v>35</v>
      </c>
      <c r="K20" s="62">
        <v>2900.0</v>
      </c>
      <c r="L20" s="62">
        <v>85.0</v>
      </c>
      <c r="M20" s="66">
        <f t="shared" si="4"/>
        <v>0.10304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8.0" customHeight="1">
      <c r="A21" s="68"/>
      <c r="B21" s="69" t="s">
        <v>38</v>
      </c>
      <c r="C21" s="57">
        <v>11.0</v>
      </c>
      <c r="D21" s="58">
        <v>15.0</v>
      </c>
      <c r="E21" s="57">
        <v>15.0</v>
      </c>
      <c r="F21" s="58">
        <v>82.0</v>
      </c>
      <c r="G21" s="59" t="s">
        <v>26</v>
      </c>
      <c r="H21" s="60">
        <v>0.0</v>
      </c>
      <c r="I21" s="61">
        <v>1169.3940599999996</v>
      </c>
      <c r="J21" s="57" t="s">
        <v>35</v>
      </c>
      <c r="K21" s="62">
        <v>2900.0</v>
      </c>
      <c r="L21" s="62">
        <v>100.0</v>
      </c>
      <c r="M21" s="66">
        <f t="shared" si="4"/>
        <v>0.10304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8.0" customHeight="1">
      <c r="A22" s="21"/>
      <c r="B22" s="69" t="s">
        <v>39</v>
      </c>
      <c r="C22" s="57">
        <v>15.0</v>
      </c>
      <c r="D22" s="58">
        <v>20.0</v>
      </c>
      <c r="E22" s="57">
        <v>15.0</v>
      </c>
      <c r="F22" s="58">
        <v>90.0</v>
      </c>
      <c r="G22" s="59" t="s">
        <v>26</v>
      </c>
      <c r="H22" s="60">
        <v>0.0</v>
      </c>
      <c r="I22" s="61">
        <v>1499.20716</v>
      </c>
      <c r="J22" s="57" t="s">
        <v>35</v>
      </c>
      <c r="K22" s="62">
        <v>2900.0</v>
      </c>
      <c r="L22" s="62">
        <v>125.0</v>
      </c>
      <c r="M22" s="66">
        <f>0.8*0.35*0.57</f>
        <v>0.1596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8.0" customHeight="1">
      <c r="A23" s="21"/>
      <c r="B23" s="69" t="s">
        <v>40</v>
      </c>
      <c r="C23" s="57">
        <v>5.5</v>
      </c>
      <c r="D23" s="58">
        <v>7.5</v>
      </c>
      <c r="E23" s="57">
        <v>15.0</v>
      </c>
      <c r="F23" s="58">
        <v>63.0</v>
      </c>
      <c r="G23" s="59" t="s">
        <v>26</v>
      </c>
      <c r="H23" s="60">
        <v>0.0</v>
      </c>
      <c r="I23" s="61">
        <v>838.7622749999998</v>
      </c>
      <c r="J23" s="57" t="s">
        <v>27</v>
      </c>
      <c r="K23" s="62">
        <v>2900.0</v>
      </c>
      <c r="L23" s="62">
        <v>83.0</v>
      </c>
      <c r="M23" s="66">
        <f t="shared" ref="M23:M24" si="5">0.67*0.35*0.44</f>
        <v>0.10318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8.0" customHeight="1">
      <c r="A24" s="21"/>
      <c r="B24" s="69" t="s">
        <v>41</v>
      </c>
      <c r="C24" s="57">
        <v>7.5</v>
      </c>
      <c r="D24" s="58">
        <v>10.0</v>
      </c>
      <c r="E24" s="57">
        <v>15.0</v>
      </c>
      <c r="F24" s="58">
        <v>83.0</v>
      </c>
      <c r="G24" s="59" t="s">
        <v>26</v>
      </c>
      <c r="H24" s="60">
        <v>0.0</v>
      </c>
      <c r="I24" s="61">
        <v>880.2033299999999</v>
      </c>
      <c r="J24" s="57" t="s">
        <v>27</v>
      </c>
      <c r="K24" s="62">
        <v>2900.0</v>
      </c>
      <c r="L24" s="62">
        <v>85.0</v>
      </c>
      <c r="M24" s="66">
        <f t="shared" si="5"/>
        <v>0.10318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8.0" customHeight="1">
      <c r="A25" s="21"/>
      <c r="B25" s="56" t="s">
        <v>42</v>
      </c>
      <c r="C25" s="57">
        <v>1.1</v>
      </c>
      <c r="D25" s="58">
        <v>1.5</v>
      </c>
      <c r="E25" s="57">
        <v>24.0</v>
      </c>
      <c r="F25" s="58">
        <v>11.5</v>
      </c>
      <c r="G25" s="59" t="s">
        <v>43</v>
      </c>
      <c r="H25" s="60">
        <v>335.42693999999995</v>
      </c>
      <c r="I25" s="61">
        <v>314.7259049999999</v>
      </c>
      <c r="J25" s="57" t="s">
        <v>35</v>
      </c>
      <c r="K25" s="62">
        <v>2900.0</v>
      </c>
      <c r="L25" s="62">
        <v>36.0</v>
      </c>
      <c r="M25" s="66">
        <f t="shared" ref="M25:M27" si="6">0.495*0.27*0.34</f>
        <v>0.045441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8.0" customHeight="1">
      <c r="A26" s="21"/>
      <c r="B26" s="56" t="s">
        <v>44</v>
      </c>
      <c r="C26" s="57">
        <v>1.5</v>
      </c>
      <c r="D26" s="58">
        <v>2.0</v>
      </c>
      <c r="E26" s="57">
        <v>27.0</v>
      </c>
      <c r="F26" s="58">
        <v>13.9</v>
      </c>
      <c r="G26" s="59" t="s">
        <v>43</v>
      </c>
      <c r="H26" s="60">
        <v>349.69544999999994</v>
      </c>
      <c r="I26" s="61">
        <v>327.08414999999997</v>
      </c>
      <c r="J26" s="57" t="s">
        <v>35</v>
      </c>
      <c r="K26" s="62">
        <v>2900.0</v>
      </c>
      <c r="L26" s="62">
        <v>38.0</v>
      </c>
      <c r="M26" s="66">
        <f t="shared" si="6"/>
        <v>0.045441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8.0" customHeight="1">
      <c r="A27" s="21"/>
      <c r="B27" s="56" t="s">
        <v>45</v>
      </c>
      <c r="C27" s="57">
        <v>2.2</v>
      </c>
      <c r="D27" s="58">
        <v>3.0</v>
      </c>
      <c r="E27" s="57">
        <v>27.0</v>
      </c>
      <c r="F27" s="58">
        <v>20.2</v>
      </c>
      <c r="G27" s="59" t="s">
        <v>43</v>
      </c>
      <c r="H27" s="60">
        <v>366.3810299999999</v>
      </c>
      <c r="I27" s="61">
        <v>344.04262499999993</v>
      </c>
      <c r="J27" s="57" t="s">
        <v>35</v>
      </c>
      <c r="K27" s="62">
        <v>2900.0</v>
      </c>
      <c r="L27" s="62">
        <v>40.0</v>
      </c>
      <c r="M27" s="66">
        <f t="shared" si="6"/>
        <v>0.045441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8.0" customHeight="1">
      <c r="A28" s="21"/>
      <c r="B28" s="56" t="s">
        <v>46</v>
      </c>
      <c r="C28" s="57">
        <v>3.0</v>
      </c>
      <c r="D28" s="58">
        <v>4.0</v>
      </c>
      <c r="E28" s="57">
        <v>27.0</v>
      </c>
      <c r="F28" s="58">
        <v>26.3</v>
      </c>
      <c r="G28" s="59" t="s">
        <v>43</v>
      </c>
      <c r="H28" s="60">
        <v>507.5846999999999</v>
      </c>
      <c r="I28" s="61">
        <v>476.9424899999999</v>
      </c>
      <c r="J28" s="57" t="s">
        <v>35</v>
      </c>
      <c r="K28" s="62">
        <v>2900.0</v>
      </c>
      <c r="L28" s="62">
        <v>47.0</v>
      </c>
      <c r="M28" s="66">
        <f t="shared" ref="M28:M29" si="7">0.58*0.29*0.4</f>
        <v>0.06728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8.0" customHeight="1">
      <c r="A29" s="21"/>
      <c r="B29" s="56" t="s">
        <v>47</v>
      </c>
      <c r="C29" s="57">
        <v>4.0</v>
      </c>
      <c r="D29" s="58">
        <v>5.5</v>
      </c>
      <c r="E29" s="57">
        <v>27.0</v>
      </c>
      <c r="F29" s="58">
        <v>33.0</v>
      </c>
      <c r="G29" s="59" t="s">
        <v>43</v>
      </c>
      <c r="H29" s="60">
        <v>677.1694499999999</v>
      </c>
      <c r="I29" s="61">
        <v>519.1242599999998</v>
      </c>
      <c r="J29" s="57" t="s">
        <v>35</v>
      </c>
      <c r="K29" s="62">
        <v>2900.0</v>
      </c>
      <c r="L29" s="62">
        <v>49.0</v>
      </c>
      <c r="M29" s="66">
        <f t="shared" si="7"/>
        <v>0.06728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8.0" customHeight="1">
      <c r="A30" s="21"/>
      <c r="B30" s="56" t="s">
        <v>48</v>
      </c>
      <c r="C30" s="57">
        <v>5.5</v>
      </c>
      <c r="D30" s="58">
        <v>7.5</v>
      </c>
      <c r="E30" s="57">
        <v>27.0</v>
      </c>
      <c r="F30" s="58">
        <v>40.1</v>
      </c>
      <c r="G30" s="59" t="s">
        <v>43</v>
      </c>
      <c r="H30" s="60">
        <v>0.0</v>
      </c>
      <c r="I30" s="61">
        <v>660.4058999999999</v>
      </c>
      <c r="J30" s="57" t="s">
        <v>27</v>
      </c>
      <c r="K30" s="62">
        <v>2900.0</v>
      </c>
      <c r="L30" s="62">
        <v>64.0</v>
      </c>
      <c r="M30" s="66">
        <f t="shared" ref="M30:M31" si="8">0.64*0.32*0.43</f>
        <v>0.088064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8.0" customHeight="1">
      <c r="A31" s="21"/>
      <c r="B31" s="56" t="s">
        <v>49</v>
      </c>
      <c r="C31" s="57">
        <v>7.5</v>
      </c>
      <c r="D31" s="58">
        <v>10.0</v>
      </c>
      <c r="E31" s="57">
        <v>27.0</v>
      </c>
      <c r="F31" s="58">
        <v>50.0</v>
      </c>
      <c r="G31" s="59" t="s">
        <v>43</v>
      </c>
      <c r="H31" s="60">
        <v>0.0</v>
      </c>
      <c r="I31" s="61">
        <v>691.7108549999998</v>
      </c>
      <c r="J31" s="57" t="s">
        <v>27</v>
      </c>
      <c r="K31" s="62">
        <v>2900.0</v>
      </c>
      <c r="L31" s="62">
        <v>69.0</v>
      </c>
      <c r="M31" s="66">
        <f t="shared" si="8"/>
        <v>0.088064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8.0" customHeight="1">
      <c r="A32" s="21"/>
      <c r="B32" s="56" t="s">
        <v>50</v>
      </c>
      <c r="C32" s="57">
        <v>9.2</v>
      </c>
      <c r="D32" s="58">
        <v>12.5</v>
      </c>
      <c r="E32" s="57">
        <v>27.0</v>
      </c>
      <c r="F32" s="58">
        <v>55.0</v>
      </c>
      <c r="G32" s="59" t="s">
        <v>43</v>
      </c>
      <c r="H32" s="60">
        <v>0.0</v>
      </c>
      <c r="I32" s="61">
        <v>975.4046999999998</v>
      </c>
      <c r="J32" s="57" t="s">
        <v>35</v>
      </c>
      <c r="K32" s="62">
        <v>2900.0</v>
      </c>
      <c r="L32" s="62">
        <v>117.0</v>
      </c>
      <c r="M32" s="66">
        <f t="shared" ref="M32:M33" si="9">0.64*0.35*0.46</f>
        <v>0.10304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8.0" customHeight="1">
      <c r="A33" s="21"/>
      <c r="B33" s="56" t="s">
        <v>51</v>
      </c>
      <c r="C33" s="57">
        <v>11.0</v>
      </c>
      <c r="D33" s="58">
        <v>15.0</v>
      </c>
      <c r="E33" s="57">
        <v>27.0</v>
      </c>
      <c r="F33" s="58">
        <v>63.5</v>
      </c>
      <c r="G33" s="59" t="s">
        <v>43</v>
      </c>
      <c r="H33" s="60">
        <v>0.0</v>
      </c>
      <c r="I33" s="61">
        <v>1112.3200199999997</v>
      </c>
      <c r="J33" s="57" t="s">
        <v>35</v>
      </c>
      <c r="K33" s="62">
        <v>2900.0</v>
      </c>
      <c r="L33" s="62">
        <v>132.0</v>
      </c>
      <c r="M33" s="66">
        <f t="shared" si="9"/>
        <v>0.10304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8.0" customHeight="1">
      <c r="A34" s="21"/>
      <c r="B34" s="56" t="s">
        <v>52</v>
      </c>
      <c r="C34" s="57">
        <v>15.0</v>
      </c>
      <c r="D34" s="58">
        <v>20.0</v>
      </c>
      <c r="E34" s="57">
        <v>27.0</v>
      </c>
      <c r="F34" s="58">
        <v>75.2</v>
      </c>
      <c r="G34" s="59" t="s">
        <v>43</v>
      </c>
      <c r="H34" s="60">
        <v>0.0</v>
      </c>
      <c r="I34" s="61">
        <v>1498.0765949999998</v>
      </c>
      <c r="J34" s="57" t="s">
        <v>35</v>
      </c>
      <c r="K34" s="62">
        <v>2900.0</v>
      </c>
      <c r="L34" s="62">
        <v>138.0</v>
      </c>
      <c r="M34" s="66">
        <f t="shared" ref="M34:M35" si="10">0.8*0.35*0.57</f>
        <v>0.1596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8.0" customHeight="1">
      <c r="A35" s="21"/>
      <c r="B35" s="56" t="s">
        <v>53</v>
      </c>
      <c r="C35" s="57">
        <v>18.5</v>
      </c>
      <c r="D35" s="58">
        <v>25.0</v>
      </c>
      <c r="E35" s="57">
        <v>27.0</v>
      </c>
      <c r="F35" s="58">
        <v>80.7</v>
      </c>
      <c r="G35" s="59" t="s">
        <v>43</v>
      </c>
      <c r="H35" s="60">
        <v>0.0</v>
      </c>
      <c r="I35" s="61">
        <v>1673.15823</v>
      </c>
      <c r="J35" s="57" t="s">
        <v>35</v>
      </c>
      <c r="K35" s="62">
        <v>2900.0</v>
      </c>
      <c r="L35" s="62">
        <v>155.0</v>
      </c>
      <c r="M35" s="66">
        <f t="shared" si="10"/>
        <v>0.1596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8.0" customHeight="1">
      <c r="A36" s="21"/>
      <c r="B36" s="56" t="s">
        <v>54</v>
      </c>
      <c r="C36" s="57">
        <v>2.2</v>
      </c>
      <c r="D36" s="58">
        <v>3.0</v>
      </c>
      <c r="E36" s="57">
        <v>48.0</v>
      </c>
      <c r="F36" s="58">
        <v>12.8</v>
      </c>
      <c r="G36" s="59" t="s">
        <v>55</v>
      </c>
      <c r="H36" s="60">
        <v>482.32241999999997</v>
      </c>
      <c r="I36" s="61">
        <v>446.26129499999996</v>
      </c>
      <c r="J36" s="57" t="s">
        <v>35</v>
      </c>
      <c r="K36" s="62">
        <v>2900.0</v>
      </c>
      <c r="L36" s="62">
        <v>49.0</v>
      </c>
      <c r="M36" s="66">
        <f t="shared" ref="M36:M38" si="11">0.59*0.29*0.4</f>
        <v>0.06844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8.0" customHeight="1">
      <c r="A37" s="21"/>
      <c r="B37" s="56" t="s">
        <v>56</v>
      </c>
      <c r="C37" s="57">
        <v>3.0</v>
      </c>
      <c r="D37" s="58">
        <v>4.0</v>
      </c>
      <c r="E37" s="57">
        <v>48.0</v>
      </c>
      <c r="F37" s="58">
        <v>17.0</v>
      </c>
      <c r="G37" s="59" t="s">
        <v>55</v>
      </c>
      <c r="H37" s="60">
        <v>511.9120349999999</v>
      </c>
      <c r="I37" s="61">
        <v>479.63245499999994</v>
      </c>
      <c r="J37" s="57" t="s">
        <v>35</v>
      </c>
      <c r="K37" s="62">
        <v>2900.0</v>
      </c>
      <c r="L37" s="62">
        <v>51.0</v>
      </c>
      <c r="M37" s="66">
        <f t="shared" si="11"/>
        <v>0.06844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8.0" customHeight="1">
      <c r="A38" s="21"/>
      <c r="B38" s="56" t="s">
        <v>57</v>
      </c>
      <c r="C38" s="57">
        <v>4.0</v>
      </c>
      <c r="D38" s="58">
        <v>5.5</v>
      </c>
      <c r="E38" s="57">
        <v>54.0</v>
      </c>
      <c r="F38" s="58">
        <v>20.3</v>
      </c>
      <c r="G38" s="59" t="s">
        <v>55</v>
      </c>
      <c r="H38" s="60">
        <v>679.8983999999999</v>
      </c>
      <c r="I38" s="61">
        <v>522.1261049999998</v>
      </c>
      <c r="J38" s="57" t="s">
        <v>35</v>
      </c>
      <c r="K38" s="62">
        <v>2900.0</v>
      </c>
      <c r="L38" s="62">
        <v>54.0</v>
      </c>
      <c r="M38" s="66">
        <f t="shared" si="11"/>
        <v>0.06844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8.0" customHeight="1">
      <c r="A39" s="21"/>
      <c r="B39" s="56" t="s">
        <v>58</v>
      </c>
      <c r="C39" s="57">
        <v>5.5</v>
      </c>
      <c r="D39" s="58">
        <v>7.5</v>
      </c>
      <c r="E39" s="57">
        <v>54.0</v>
      </c>
      <c r="F39" s="58">
        <v>26.6</v>
      </c>
      <c r="G39" s="59" t="s">
        <v>55</v>
      </c>
      <c r="H39" s="60">
        <v>0.0</v>
      </c>
      <c r="I39" s="61">
        <v>627.5025599999998</v>
      </c>
      <c r="J39" s="57" t="s">
        <v>35</v>
      </c>
      <c r="K39" s="62">
        <v>2900.0</v>
      </c>
      <c r="L39" s="62">
        <v>64.0</v>
      </c>
      <c r="M39" s="66">
        <f t="shared" ref="M39:M40" si="12">0.64*0.32*0.43</f>
        <v>0.088064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8.0" customHeight="1">
      <c r="A40" s="21"/>
      <c r="B40" s="56" t="s">
        <v>59</v>
      </c>
      <c r="C40" s="57">
        <v>7.5</v>
      </c>
      <c r="D40" s="58">
        <v>10.0</v>
      </c>
      <c r="E40" s="57">
        <v>54.0</v>
      </c>
      <c r="F40" s="58">
        <v>34.4</v>
      </c>
      <c r="G40" s="59" t="s">
        <v>55</v>
      </c>
      <c r="H40" s="60">
        <v>0.0</v>
      </c>
      <c r="I40" s="61">
        <v>658.7685299999999</v>
      </c>
      <c r="J40" s="57" t="s">
        <v>35</v>
      </c>
      <c r="K40" s="62">
        <v>2900.0</v>
      </c>
      <c r="L40" s="62">
        <v>71.0</v>
      </c>
      <c r="M40" s="66">
        <f t="shared" si="12"/>
        <v>0.088064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8.0" customHeight="1">
      <c r="A41" s="21"/>
      <c r="B41" s="56" t="s">
        <v>60</v>
      </c>
      <c r="C41" s="57">
        <v>9.2</v>
      </c>
      <c r="D41" s="58">
        <v>12.5</v>
      </c>
      <c r="E41" s="57">
        <v>54.0</v>
      </c>
      <c r="F41" s="58">
        <v>40.9</v>
      </c>
      <c r="G41" s="59" t="s">
        <v>55</v>
      </c>
      <c r="H41" s="60">
        <v>0.0</v>
      </c>
      <c r="I41" s="61">
        <v>1032.4787399999998</v>
      </c>
      <c r="J41" s="57" t="s">
        <v>35</v>
      </c>
      <c r="K41" s="62">
        <v>2900.0</v>
      </c>
      <c r="L41" s="62">
        <v>110.0</v>
      </c>
      <c r="M41" s="66">
        <f t="shared" ref="M41:M42" si="13">0.64*0.35*0.46</f>
        <v>0.10304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8.0" customHeight="1">
      <c r="A42" s="21"/>
      <c r="B42" s="56" t="s">
        <v>61</v>
      </c>
      <c r="C42" s="57">
        <v>11.0</v>
      </c>
      <c r="D42" s="58">
        <v>15.0</v>
      </c>
      <c r="E42" s="57">
        <v>54.0</v>
      </c>
      <c r="F42" s="58">
        <v>47.5</v>
      </c>
      <c r="G42" s="59" t="s">
        <v>55</v>
      </c>
      <c r="H42" s="60">
        <v>0.0</v>
      </c>
      <c r="I42" s="61">
        <v>1126.8614249999998</v>
      </c>
      <c r="J42" s="57" t="s">
        <v>35</v>
      </c>
      <c r="K42" s="62">
        <v>2900.0</v>
      </c>
      <c r="L42" s="62">
        <v>125.0</v>
      </c>
      <c r="M42" s="66">
        <f t="shared" si="13"/>
        <v>0.10304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8.0" customHeight="1">
      <c r="A43" s="21"/>
      <c r="B43" s="56" t="s">
        <v>62</v>
      </c>
      <c r="C43" s="57">
        <v>15.0</v>
      </c>
      <c r="D43" s="58">
        <v>20.0</v>
      </c>
      <c r="E43" s="57">
        <v>54.0</v>
      </c>
      <c r="F43" s="58">
        <v>52.0</v>
      </c>
      <c r="G43" s="59" t="s">
        <v>55</v>
      </c>
      <c r="H43" s="60">
        <v>0.0</v>
      </c>
      <c r="I43" s="61">
        <v>1411.9587299999998</v>
      </c>
      <c r="J43" s="57" t="s">
        <v>35</v>
      </c>
      <c r="K43" s="62">
        <v>2900.0</v>
      </c>
      <c r="L43" s="62">
        <v>142.0</v>
      </c>
      <c r="M43" s="66">
        <f t="shared" ref="M43:M46" si="14">0.8*0.35*0.57</f>
        <v>0.1596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8.0" customHeight="1">
      <c r="A44" s="21"/>
      <c r="B44" s="56" t="s">
        <v>63</v>
      </c>
      <c r="C44" s="57">
        <v>15.0</v>
      </c>
      <c r="D44" s="58">
        <v>20.0</v>
      </c>
      <c r="E44" s="57">
        <v>54.0</v>
      </c>
      <c r="F44" s="58">
        <v>59.0</v>
      </c>
      <c r="G44" s="59" t="s">
        <v>55</v>
      </c>
      <c r="H44" s="60">
        <v>0.0</v>
      </c>
      <c r="I44" s="61">
        <v>1435.8175499999998</v>
      </c>
      <c r="J44" s="57" t="s">
        <v>35</v>
      </c>
      <c r="K44" s="62">
        <v>2900.0</v>
      </c>
      <c r="L44" s="62">
        <v>143.0</v>
      </c>
      <c r="M44" s="66">
        <f t="shared" si="14"/>
        <v>0.1596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8.0" customHeight="1">
      <c r="A45" s="21"/>
      <c r="B45" s="56" t="s">
        <v>64</v>
      </c>
      <c r="C45" s="57">
        <v>18.5</v>
      </c>
      <c r="D45" s="58">
        <v>25.0</v>
      </c>
      <c r="E45" s="57">
        <v>54.0</v>
      </c>
      <c r="F45" s="58">
        <v>71.5</v>
      </c>
      <c r="G45" s="59" t="s">
        <v>55</v>
      </c>
      <c r="H45" s="60">
        <v>0.0</v>
      </c>
      <c r="I45" s="61">
        <v>1622.1268649999997</v>
      </c>
      <c r="J45" s="57" t="s">
        <v>35</v>
      </c>
      <c r="K45" s="62">
        <v>2900.0</v>
      </c>
      <c r="L45" s="62">
        <v>156.0</v>
      </c>
      <c r="M45" s="66">
        <f t="shared" si="14"/>
        <v>0.1596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8.0" customHeight="1">
      <c r="A46" s="21"/>
      <c r="B46" s="56" t="s">
        <v>65</v>
      </c>
      <c r="C46" s="57">
        <v>22.0</v>
      </c>
      <c r="D46" s="58">
        <v>30.0</v>
      </c>
      <c r="E46" s="57">
        <v>54.0</v>
      </c>
      <c r="F46" s="58">
        <v>81.5</v>
      </c>
      <c r="G46" s="59" t="s">
        <v>55</v>
      </c>
      <c r="H46" s="60">
        <v>0.0</v>
      </c>
      <c r="I46" s="61">
        <v>1859.7404399999996</v>
      </c>
      <c r="J46" s="57" t="s">
        <v>35</v>
      </c>
      <c r="K46" s="62">
        <v>2900.0</v>
      </c>
      <c r="L46" s="62">
        <v>164.0</v>
      </c>
      <c r="M46" s="66">
        <f t="shared" si="14"/>
        <v>0.1596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8.0" customHeight="1">
      <c r="A47" s="21"/>
      <c r="B47" s="56" t="s">
        <v>66</v>
      </c>
      <c r="C47" s="57">
        <v>4.0</v>
      </c>
      <c r="D47" s="58">
        <v>5.5</v>
      </c>
      <c r="E47" s="57">
        <v>54.0</v>
      </c>
      <c r="F47" s="58">
        <v>16.8</v>
      </c>
      <c r="G47" s="59" t="s">
        <v>67</v>
      </c>
      <c r="H47" s="60">
        <v>0.0</v>
      </c>
      <c r="I47" s="61">
        <v>577.5627749999999</v>
      </c>
      <c r="J47" s="57" t="s">
        <v>35</v>
      </c>
      <c r="K47" s="62">
        <v>2900.0</v>
      </c>
      <c r="L47" s="62">
        <v>65.0</v>
      </c>
      <c r="M47" s="66">
        <f t="shared" ref="M47:M49" si="15">0.64*0.32*0.43</f>
        <v>0.088064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8.0" customHeight="1">
      <c r="A48" s="21"/>
      <c r="B48" s="56" t="s">
        <v>68</v>
      </c>
      <c r="C48" s="57">
        <v>5.5</v>
      </c>
      <c r="D48" s="58">
        <v>7.5</v>
      </c>
      <c r="E48" s="57">
        <v>72.0</v>
      </c>
      <c r="F48" s="58">
        <v>19.0</v>
      </c>
      <c r="G48" s="59" t="s">
        <v>67</v>
      </c>
      <c r="H48" s="60">
        <v>0.0</v>
      </c>
      <c r="I48" s="61">
        <v>640.4065949999999</v>
      </c>
      <c r="J48" s="57" t="s">
        <v>35</v>
      </c>
      <c r="K48" s="62">
        <v>2900.0</v>
      </c>
      <c r="L48" s="62">
        <v>71.0</v>
      </c>
      <c r="M48" s="66">
        <f t="shared" si="15"/>
        <v>0.088064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8.0" customHeight="1">
      <c r="A49" s="21"/>
      <c r="B49" s="56" t="s">
        <v>69</v>
      </c>
      <c r="C49" s="57">
        <v>7.5</v>
      </c>
      <c r="D49" s="58">
        <v>10.0</v>
      </c>
      <c r="E49" s="57">
        <v>72.0</v>
      </c>
      <c r="F49" s="58">
        <v>24.5</v>
      </c>
      <c r="G49" s="59" t="s">
        <v>67</v>
      </c>
      <c r="H49" s="60">
        <v>0.0</v>
      </c>
      <c r="I49" s="61">
        <v>671.9454599999999</v>
      </c>
      <c r="J49" s="57" t="s">
        <v>35</v>
      </c>
      <c r="K49" s="62">
        <v>2900.0</v>
      </c>
      <c r="L49" s="62">
        <v>73.0</v>
      </c>
      <c r="M49" s="66">
        <f t="shared" si="15"/>
        <v>0.088064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8.0" customHeight="1">
      <c r="A50" s="21"/>
      <c r="B50" s="56" t="s">
        <v>70</v>
      </c>
      <c r="C50" s="57">
        <v>9.2</v>
      </c>
      <c r="D50" s="58">
        <v>12.5</v>
      </c>
      <c r="E50" s="57">
        <v>84.0</v>
      </c>
      <c r="F50" s="58">
        <v>28.0</v>
      </c>
      <c r="G50" s="59" t="s">
        <v>67</v>
      </c>
      <c r="H50" s="60">
        <v>0.0</v>
      </c>
      <c r="I50" s="61">
        <v>1026.7089599999997</v>
      </c>
      <c r="J50" s="57" t="s">
        <v>35</v>
      </c>
      <c r="K50" s="62">
        <v>2900.0</v>
      </c>
      <c r="L50" s="62">
        <v>100.0</v>
      </c>
      <c r="M50" s="66">
        <f t="shared" ref="M50:M51" si="16">0.64*0.35*0.46</f>
        <v>0.10304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8.0" customHeight="1">
      <c r="A51" s="21"/>
      <c r="B51" s="56" t="s">
        <v>71</v>
      </c>
      <c r="C51" s="57">
        <v>11.0</v>
      </c>
      <c r="D51" s="58">
        <v>15.0</v>
      </c>
      <c r="E51" s="57">
        <v>84.0</v>
      </c>
      <c r="F51" s="58">
        <v>31.5</v>
      </c>
      <c r="G51" s="59" t="s">
        <v>67</v>
      </c>
      <c r="H51" s="60">
        <v>0.0</v>
      </c>
      <c r="I51" s="61">
        <v>1155.3984449999998</v>
      </c>
      <c r="J51" s="57" t="s">
        <v>35</v>
      </c>
      <c r="K51" s="62">
        <v>2900.0</v>
      </c>
      <c r="L51" s="62">
        <v>122.0</v>
      </c>
      <c r="M51" s="66">
        <f t="shared" si="16"/>
        <v>0.10304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8.0" customHeight="1">
      <c r="A52" s="21"/>
      <c r="B52" s="56" t="s">
        <v>72</v>
      </c>
      <c r="C52" s="57">
        <v>15.0</v>
      </c>
      <c r="D52" s="58">
        <v>20.0</v>
      </c>
      <c r="E52" s="57">
        <v>84.0</v>
      </c>
      <c r="F52" s="58">
        <v>38.5</v>
      </c>
      <c r="G52" s="59" t="s">
        <v>67</v>
      </c>
      <c r="H52" s="60">
        <v>0.0</v>
      </c>
      <c r="I52" s="61">
        <v>1397.9631149999998</v>
      </c>
      <c r="J52" s="57" t="s">
        <v>35</v>
      </c>
      <c r="K52" s="62">
        <v>2900.0</v>
      </c>
      <c r="L52" s="62">
        <v>137.0</v>
      </c>
      <c r="M52" s="66">
        <f t="shared" ref="M52:M55" si="17">0.82*0.35*0.57</f>
        <v>0.16359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8.0" customHeight="1">
      <c r="A53" s="21"/>
      <c r="B53" s="56" t="s">
        <v>73</v>
      </c>
      <c r="C53" s="57">
        <v>15.0</v>
      </c>
      <c r="D53" s="58">
        <v>20.0</v>
      </c>
      <c r="E53" s="57">
        <v>84.0</v>
      </c>
      <c r="F53" s="58">
        <v>41.0</v>
      </c>
      <c r="G53" s="59" t="s">
        <v>67</v>
      </c>
      <c r="H53" s="60">
        <v>0.0</v>
      </c>
      <c r="I53" s="61">
        <v>1498.0765949999998</v>
      </c>
      <c r="J53" s="57" t="s">
        <v>35</v>
      </c>
      <c r="K53" s="62">
        <v>2900.0</v>
      </c>
      <c r="L53" s="62">
        <v>145.0</v>
      </c>
      <c r="M53" s="66">
        <f t="shared" si="17"/>
        <v>0.16359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8.0" customHeight="1">
      <c r="A54" s="21"/>
      <c r="B54" s="56" t="s">
        <v>74</v>
      </c>
      <c r="C54" s="57">
        <v>18.5</v>
      </c>
      <c r="D54" s="58">
        <v>25.0</v>
      </c>
      <c r="E54" s="57">
        <v>84.0</v>
      </c>
      <c r="F54" s="58">
        <v>49.0</v>
      </c>
      <c r="G54" s="59" t="s">
        <v>67</v>
      </c>
      <c r="H54" s="60">
        <v>0.0</v>
      </c>
      <c r="I54" s="61">
        <v>1796.0779349999998</v>
      </c>
      <c r="J54" s="57" t="s">
        <v>35</v>
      </c>
      <c r="K54" s="62">
        <v>2900.0</v>
      </c>
      <c r="L54" s="62">
        <v>158.0</v>
      </c>
      <c r="M54" s="66">
        <f t="shared" si="17"/>
        <v>0.16359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8.0" customHeight="1">
      <c r="A55" s="21"/>
      <c r="B55" s="56" t="s">
        <v>75</v>
      </c>
      <c r="C55" s="57">
        <v>22.0</v>
      </c>
      <c r="D55" s="58">
        <v>30.0</v>
      </c>
      <c r="E55" s="57">
        <v>90.0</v>
      </c>
      <c r="F55" s="58">
        <v>55.0</v>
      </c>
      <c r="G55" s="59" t="s">
        <v>67</v>
      </c>
      <c r="H55" s="60">
        <v>0.0</v>
      </c>
      <c r="I55" s="61">
        <v>1859.7404399999996</v>
      </c>
      <c r="J55" s="57" t="s">
        <v>35</v>
      </c>
      <c r="K55" s="62">
        <v>2900.0</v>
      </c>
      <c r="L55" s="62">
        <v>165.0</v>
      </c>
      <c r="M55" s="66">
        <f t="shared" si="17"/>
        <v>0.16359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8.0" customHeight="1">
      <c r="A56" s="21"/>
      <c r="B56" s="56" t="s">
        <v>76</v>
      </c>
      <c r="C56" s="57">
        <v>22.0</v>
      </c>
      <c r="D56" s="58">
        <v>30.0</v>
      </c>
      <c r="E56" s="57">
        <v>90.0</v>
      </c>
      <c r="F56" s="58">
        <v>58.5</v>
      </c>
      <c r="G56" s="59" t="s">
        <v>67</v>
      </c>
      <c r="H56" s="60">
        <v>0.0</v>
      </c>
      <c r="I56" s="61">
        <v>2045.7378749999996</v>
      </c>
      <c r="J56" s="57" t="s">
        <v>35</v>
      </c>
      <c r="K56" s="62">
        <v>2900.0</v>
      </c>
      <c r="L56" s="62">
        <v>195.0</v>
      </c>
      <c r="M56" s="66">
        <f>0.92*0.43*0.55</f>
        <v>0.21758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8.0" customHeight="1">
      <c r="A57" s="21"/>
      <c r="B57" s="56" t="s">
        <v>77</v>
      </c>
      <c r="C57" s="57">
        <v>30.0</v>
      </c>
      <c r="D57" s="58">
        <v>40.0</v>
      </c>
      <c r="E57" s="57">
        <v>90.0</v>
      </c>
      <c r="F57" s="58">
        <v>74.5</v>
      </c>
      <c r="G57" s="59" t="s">
        <v>67</v>
      </c>
      <c r="H57" s="60">
        <v>0.0</v>
      </c>
      <c r="I57" s="61">
        <v>2687.23605</v>
      </c>
      <c r="J57" s="57" t="s">
        <v>35</v>
      </c>
      <c r="K57" s="62">
        <v>2900.0</v>
      </c>
      <c r="L57" s="62">
        <v>241.0</v>
      </c>
      <c r="M57" s="66">
        <f t="shared" ref="M57:M58" si="18">0.92*0.43*0.61</f>
        <v>0.241316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8.0" customHeight="1">
      <c r="A58" s="21"/>
      <c r="B58" s="56" t="s">
        <v>78</v>
      </c>
      <c r="C58" s="57">
        <v>37.0</v>
      </c>
      <c r="D58" s="58">
        <v>50.0</v>
      </c>
      <c r="E58" s="57">
        <v>90.0</v>
      </c>
      <c r="F58" s="58">
        <v>85.0</v>
      </c>
      <c r="G58" s="59" t="s">
        <v>67</v>
      </c>
      <c r="H58" s="60">
        <v>0.0</v>
      </c>
      <c r="I58" s="61">
        <v>2921.0290949999994</v>
      </c>
      <c r="J58" s="57" t="s">
        <v>35</v>
      </c>
      <c r="K58" s="62">
        <v>2900.0</v>
      </c>
      <c r="L58" s="62">
        <v>310.0</v>
      </c>
      <c r="M58" s="66">
        <f t="shared" si="18"/>
        <v>0.241316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8.0" customHeight="1">
      <c r="A59" s="21"/>
      <c r="B59" s="70" t="s">
        <v>79</v>
      </c>
      <c r="C59" s="57">
        <v>45.0</v>
      </c>
      <c r="D59" s="58">
        <v>60.0</v>
      </c>
      <c r="E59" s="57">
        <v>90.0</v>
      </c>
      <c r="F59" s="58">
        <v>94.5</v>
      </c>
      <c r="G59" s="59" t="s">
        <v>67</v>
      </c>
      <c r="H59" s="60">
        <v>0.0</v>
      </c>
      <c r="I59" s="71" t="s">
        <v>80</v>
      </c>
      <c r="J59" s="57" t="s">
        <v>35</v>
      </c>
      <c r="K59" s="62">
        <v>2900.0</v>
      </c>
      <c r="L59" s="62">
        <v>371.0</v>
      </c>
      <c r="M59" s="66">
        <f>1.1*0.47*0.62</f>
        <v>0.32054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8.0" customHeight="1">
      <c r="A60" s="21"/>
      <c r="B60" s="70" t="s">
        <v>81</v>
      </c>
      <c r="C60" s="57">
        <v>55.0</v>
      </c>
      <c r="D60" s="58">
        <v>75.0</v>
      </c>
      <c r="E60" s="57">
        <v>120.0</v>
      </c>
      <c r="F60" s="58">
        <v>110.0</v>
      </c>
      <c r="G60" s="59" t="s">
        <v>67</v>
      </c>
      <c r="H60" s="60">
        <v>0.0</v>
      </c>
      <c r="I60" s="71" t="s">
        <v>80</v>
      </c>
      <c r="J60" s="57" t="s">
        <v>35</v>
      </c>
      <c r="K60" s="62">
        <v>2900.0</v>
      </c>
      <c r="L60" s="62">
        <v>450.0</v>
      </c>
      <c r="M60" s="66">
        <f>1.19*0.47*0.62</f>
        <v>0.346766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8.0" customHeight="1">
      <c r="A61" s="21"/>
      <c r="B61" s="70" t="s">
        <v>82</v>
      </c>
      <c r="C61" s="57">
        <v>75.0</v>
      </c>
      <c r="D61" s="58">
        <v>100.0</v>
      </c>
      <c r="E61" s="57">
        <v>144.0</v>
      </c>
      <c r="F61" s="58">
        <v>120.0</v>
      </c>
      <c r="G61" s="59" t="s">
        <v>67</v>
      </c>
      <c r="H61" s="60">
        <v>0.0</v>
      </c>
      <c r="I61" s="71" t="s">
        <v>80</v>
      </c>
      <c r="J61" s="57" t="s">
        <v>35</v>
      </c>
      <c r="K61" s="62">
        <v>2900.0</v>
      </c>
      <c r="L61" s="62">
        <v>582.0</v>
      </c>
      <c r="M61" s="66">
        <f>1.26*0.47*0.62</f>
        <v>0.367164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8.0" customHeight="1">
      <c r="A62" s="21"/>
      <c r="B62" s="70" t="s">
        <v>83</v>
      </c>
      <c r="C62" s="57">
        <v>90.0</v>
      </c>
      <c r="D62" s="58">
        <v>125.0</v>
      </c>
      <c r="E62" s="57">
        <v>144.0</v>
      </c>
      <c r="F62" s="58">
        <v>130.0</v>
      </c>
      <c r="G62" s="59" t="s">
        <v>67</v>
      </c>
      <c r="H62" s="60">
        <v>0.0</v>
      </c>
      <c r="I62" s="71" t="s">
        <v>80</v>
      </c>
      <c r="J62" s="57" t="s">
        <v>35</v>
      </c>
      <c r="K62" s="62">
        <v>2900.0</v>
      </c>
      <c r="L62" s="62">
        <v>617.0</v>
      </c>
      <c r="M62" s="66">
        <f>1.31*0.47*0.62</f>
        <v>0.381734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8.0" customHeight="1">
      <c r="A63" s="21"/>
      <c r="B63" s="56" t="s">
        <v>84</v>
      </c>
      <c r="C63" s="57">
        <v>4.0</v>
      </c>
      <c r="D63" s="58">
        <v>5.5</v>
      </c>
      <c r="E63" s="57">
        <v>60.0</v>
      </c>
      <c r="F63" s="58">
        <v>15.0</v>
      </c>
      <c r="G63" s="59" t="s">
        <v>85</v>
      </c>
      <c r="H63" s="60">
        <v>0.0</v>
      </c>
      <c r="I63" s="61">
        <v>577.5627749999999</v>
      </c>
      <c r="J63" s="57" t="s">
        <v>35</v>
      </c>
      <c r="K63" s="62">
        <v>2900.0</v>
      </c>
      <c r="L63" s="62">
        <v>66.0</v>
      </c>
      <c r="M63" s="66">
        <f t="shared" ref="M63:M65" si="19">0.64*0.32*0.43</f>
        <v>0.088064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8.0" customHeight="1">
      <c r="A64" s="21"/>
      <c r="B64" s="56" t="s">
        <v>86</v>
      </c>
      <c r="C64" s="57">
        <v>5.5</v>
      </c>
      <c r="D64" s="58">
        <v>7.5</v>
      </c>
      <c r="E64" s="57">
        <v>90.0</v>
      </c>
      <c r="F64" s="58">
        <v>17.4</v>
      </c>
      <c r="G64" s="59" t="s">
        <v>85</v>
      </c>
      <c r="H64" s="60">
        <v>0.0</v>
      </c>
      <c r="I64" s="61">
        <v>640.4065949999999</v>
      </c>
      <c r="J64" s="57" t="s">
        <v>35</v>
      </c>
      <c r="K64" s="62">
        <v>2900.0</v>
      </c>
      <c r="L64" s="62">
        <v>72.0</v>
      </c>
      <c r="M64" s="66">
        <f t="shared" si="19"/>
        <v>0.088064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8.0" customHeight="1">
      <c r="A65" s="21"/>
      <c r="B65" s="56" t="s">
        <v>87</v>
      </c>
      <c r="C65" s="57">
        <v>7.5</v>
      </c>
      <c r="D65" s="58">
        <v>10.0</v>
      </c>
      <c r="E65" s="57">
        <v>90.0</v>
      </c>
      <c r="F65" s="58">
        <v>23.0</v>
      </c>
      <c r="G65" s="59" t="s">
        <v>85</v>
      </c>
      <c r="H65" s="60">
        <v>0.0</v>
      </c>
      <c r="I65" s="61">
        <v>671.9454599999999</v>
      </c>
      <c r="J65" s="57" t="s">
        <v>35</v>
      </c>
      <c r="K65" s="62">
        <v>2900.0</v>
      </c>
      <c r="L65" s="62">
        <v>74.0</v>
      </c>
      <c r="M65" s="66">
        <f t="shared" si="19"/>
        <v>0.088064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8.0" customHeight="1">
      <c r="A66" s="21"/>
      <c r="B66" s="56" t="s">
        <v>88</v>
      </c>
      <c r="C66" s="57">
        <v>11.0</v>
      </c>
      <c r="D66" s="58">
        <v>15.0</v>
      </c>
      <c r="E66" s="57">
        <v>90.0</v>
      </c>
      <c r="F66" s="58">
        <v>27.3</v>
      </c>
      <c r="G66" s="59" t="s">
        <v>85</v>
      </c>
      <c r="H66" s="60">
        <v>0.0</v>
      </c>
      <c r="I66" s="61">
        <v>1249.23534</v>
      </c>
      <c r="J66" s="57" t="s">
        <v>35</v>
      </c>
      <c r="K66" s="62">
        <v>2900.0</v>
      </c>
      <c r="L66" s="62">
        <v>128.0</v>
      </c>
      <c r="M66" s="66">
        <f>0.64*0.35*0.46</f>
        <v>0.10304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8.0" customHeight="1">
      <c r="A67" s="21"/>
      <c r="B67" s="56" t="s">
        <v>89</v>
      </c>
      <c r="C67" s="57">
        <v>15.0</v>
      </c>
      <c r="D67" s="58">
        <v>20.0</v>
      </c>
      <c r="E67" s="57">
        <v>144.0</v>
      </c>
      <c r="F67" s="58">
        <v>27.0</v>
      </c>
      <c r="G67" s="59" t="s">
        <v>85</v>
      </c>
      <c r="H67" s="60">
        <v>0.0</v>
      </c>
      <c r="I67" s="61">
        <v>1491.8000099999997</v>
      </c>
      <c r="J67" s="57" t="s">
        <v>35</v>
      </c>
      <c r="K67" s="62">
        <v>2900.0</v>
      </c>
      <c r="L67" s="62">
        <v>145.0</v>
      </c>
      <c r="M67" s="66">
        <f t="shared" ref="M67:M69" si="20">0.82*0.35*0.57</f>
        <v>0.16359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8.0" customHeight="1">
      <c r="A68" s="21"/>
      <c r="B68" s="56" t="s">
        <v>90</v>
      </c>
      <c r="C68" s="57">
        <v>18.5</v>
      </c>
      <c r="D68" s="58">
        <v>25.0</v>
      </c>
      <c r="E68" s="57">
        <v>144.0</v>
      </c>
      <c r="F68" s="58">
        <v>33.6</v>
      </c>
      <c r="G68" s="59" t="s">
        <v>85</v>
      </c>
      <c r="H68" s="60">
        <v>0.0</v>
      </c>
      <c r="I68" s="61">
        <v>1796.0779349999998</v>
      </c>
      <c r="J68" s="57" t="s">
        <v>35</v>
      </c>
      <c r="K68" s="62">
        <v>2900.0</v>
      </c>
      <c r="L68" s="62">
        <v>156.0</v>
      </c>
      <c r="M68" s="66">
        <f t="shared" si="20"/>
        <v>0.16359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8.0" customHeight="1">
      <c r="A69" s="21"/>
      <c r="B69" s="56" t="s">
        <v>91</v>
      </c>
      <c r="C69" s="57">
        <v>22.0</v>
      </c>
      <c r="D69" s="58">
        <v>30.0</v>
      </c>
      <c r="E69" s="57">
        <v>144.0</v>
      </c>
      <c r="F69" s="58">
        <v>38.6</v>
      </c>
      <c r="G69" s="59" t="s">
        <v>85</v>
      </c>
      <c r="H69" s="60">
        <v>0.0</v>
      </c>
      <c r="I69" s="61">
        <v>1933.2661499999995</v>
      </c>
      <c r="J69" s="57" t="s">
        <v>35</v>
      </c>
      <c r="K69" s="62">
        <v>2900.0</v>
      </c>
      <c r="L69" s="62">
        <v>206.0</v>
      </c>
      <c r="M69" s="66">
        <f t="shared" si="20"/>
        <v>0.16359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8.0" customHeight="1">
      <c r="A70" s="21"/>
      <c r="B70" s="56" t="s">
        <v>92</v>
      </c>
      <c r="C70" s="57">
        <v>22.0</v>
      </c>
      <c r="D70" s="58">
        <v>30.0</v>
      </c>
      <c r="E70" s="57">
        <v>144.0</v>
      </c>
      <c r="F70" s="58">
        <v>39.2</v>
      </c>
      <c r="G70" s="59" t="s">
        <v>85</v>
      </c>
      <c r="H70" s="60">
        <v>0.0</v>
      </c>
      <c r="I70" s="61">
        <v>2152.2059099999997</v>
      </c>
      <c r="J70" s="57" t="s">
        <v>35</v>
      </c>
      <c r="K70" s="62">
        <v>2900.0</v>
      </c>
      <c r="L70" s="62">
        <v>208.0</v>
      </c>
      <c r="M70" s="66">
        <f>0.92*0.43*0.55</f>
        <v>0.21758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8.0" customHeight="1">
      <c r="A71" s="21"/>
      <c r="B71" s="70" t="s">
        <v>93</v>
      </c>
      <c r="C71" s="57">
        <v>30.0</v>
      </c>
      <c r="D71" s="58">
        <v>40.0</v>
      </c>
      <c r="E71" s="57">
        <v>144.0</v>
      </c>
      <c r="F71" s="58">
        <v>53.1</v>
      </c>
      <c r="G71" s="59" t="s">
        <v>85</v>
      </c>
      <c r="H71" s="60">
        <v>0.0</v>
      </c>
      <c r="I71" s="61">
        <v>2687.23605</v>
      </c>
      <c r="J71" s="57" t="s">
        <v>35</v>
      </c>
      <c r="K71" s="62">
        <v>2900.0</v>
      </c>
      <c r="L71" s="62">
        <v>220.0</v>
      </c>
      <c r="M71" s="66">
        <f>0.92*0.43*0.66</f>
        <v>0.261096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8.0" customHeight="1">
      <c r="A72" s="21"/>
      <c r="B72" s="70" t="s">
        <v>94</v>
      </c>
      <c r="C72" s="57">
        <v>37.0</v>
      </c>
      <c r="D72" s="58">
        <v>50.0</v>
      </c>
      <c r="E72" s="57">
        <v>144.0</v>
      </c>
      <c r="F72" s="58">
        <v>59.3</v>
      </c>
      <c r="G72" s="59" t="s">
        <v>85</v>
      </c>
      <c r="H72" s="60">
        <v>0.0</v>
      </c>
      <c r="I72" s="61">
        <v>2980.559189999999</v>
      </c>
      <c r="J72" s="57" t="s">
        <v>35</v>
      </c>
      <c r="K72" s="62">
        <v>2900.0</v>
      </c>
      <c r="L72" s="62">
        <v>299.0</v>
      </c>
      <c r="M72" s="66">
        <f>0.92*0.43*0.65</f>
        <v>0.25714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8.0" customHeight="1">
      <c r="A73" s="21"/>
      <c r="B73" s="70" t="s">
        <v>95</v>
      </c>
      <c r="C73" s="57">
        <v>45.0</v>
      </c>
      <c r="D73" s="58">
        <v>60.0</v>
      </c>
      <c r="E73" s="57">
        <v>144.0</v>
      </c>
      <c r="F73" s="58">
        <v>78.5</v>
      </c>
      <c r="G73" s="59" t="s">
        <v>85</v>
      </c>
      <c r="H73" s="60">
        <v>0.0</v>
      </c>
      <c r="I73" s="71" t="s">
        <v>80</v>
      </c>
      <c r="J73" s="57" t="s">
        <v>35</v>
      </c>
      <c r="K73" s="62">
        <v>2900.0</v>
      </c>
      <c r="L73" s="62">
        <v>350.0</v>
      </c>
      <c r="M73" s="66">
        <f>1*0.45*0.69</f>
        <v>0.3105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8.0" customHeight="1">
      <c r="A74" s="21"/>
      <c r="B74" s="70" t="s">
        <v>96</v>
      </c>
      <c r="C74" s="57">
        <v>55.0</v>
      </c>
      <c r="D74" s="58">
        <v>75.0</v>
      </c>
      <c r="E74" s="57">
        <v>144.0</v>
      </c>
      <c r="F74" s="58">
        <v>87.0</v>
      </c>
      <c r="G74" s="59" t="s">
        <v>85</v>
      </c>
      <c r="H74" s="60">
        <v>0.0</v>
      </c>
      <c r="I74" s="71" t="s">
        <v>80</v>
      </c>
      <c r="J74" s="57" t="s">
        <v>35</v>
      </c>
      <c r="K74" s="62">
        <v>2900.0</v>
      </c>
      <c r="L74" s="62">
        <v>394.0</v>
      </c>
      <c r="M74" s="66">
        <f>1.05*0.53*0.72</f>
        <v>0.40068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8.0" customHeight="1">
      <c r="A75" s="21"/>
      <c r="B75" s="70" t="s">
        <v>97</v>
      </c>
      <c r="C75" s="57">
        <v>45.0</v>
      </c>
      <c r="D75" s="58">
        <v>60.0</v>
      </c>
      <c r="E75" s="57">
        <v>144.0</v>
      </c>
      <c r="F75" s="58">
        <v>78.0</v>
      </c>
      <c r="G75" s="59" t="s">
        <v>85</v>
      </c>
      <c r="H75" s="60">
        <v>0.0</v>
      </c>
      <c r="I75" s="71" t="s">
        <v>80</v>
      </c>
      <c r="J75" s="57" t="s">
        <v>35</v>
      </c>
      <c r="K75" s="62">
        <v>2900.0</v>
      </c>
      <c r="L75" s="62">
        <v>381.0</v>
      </c>
      <c r="M75" s="66">
        <f>1.1*0.48*0.68</f>
        <v>0.35904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8.0" customHeight="1">
      <c r="A76" s="21"/>
      <c r="B76" s="70" t="s">
        <v>98</v>
      </c>
      <c r="C76" s="57">
        <v>55.0</v>
      </c>
      <c r="D76" s="58">
        <v>75.0</v>
      </c>
      <c r="E76" s="57">
        <v>144.0</v>
      </c>
      <c r="F76" s="58">
        <v>91.0</v>
      </c>
      <c r="G76" s="59" t="s">
        <v>85</v>
      </c>
      <c r="H76" s="60">
        <v>0.0</v>
      </c>
      <c r="I76" s="71" t="s">
        <v>80</v>
      </c>
      <c r="J76" s="57" t="s">
        <v>35</v>
      </c>
      <c r="K76" s="62">
        <v>2900.0</v>
      </c>
      <c r="L76" s="62">
        <v>460.0</v>
      </c>
      <c r="M76" s="66">
        <f>1.19*0.48*0.68</f>
        <v>0.388416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8.0" customHeight="1">
      <c r="A77" s="21"/>
      <c r="B77" s="70" t="s">
        <v>99</v>
      </c>
      <c r="C77" s="57">
        <v>75.0</v>
      </c>
      <c r="D77" s="58">
        <v>100.0</v>
      </c>
      <c r="E77" s="57">
        <v>180.0</v>
      </c>
      <c r="F77" s="58">
        <v>107.3</v>
      </c>
      <c r="G77" s="59" t="s">
        <v>85</v>
      </c>
      <c r="H77" s="60">
        <v>0.0</v>
      </c>
      <c r="I77" s="71" t="s">
        <v>80</v>
      </c>
      <c r="J77" s="57" t="s">
        <v>35</v>
      </c>
      <c r="K77" s="62">
        <v>2900.0</v>
      </c>
      <c r="L77" s="62">
        <v>592.0</v>
      </c>
      <c r="M77" s="66">
        <f>1.26*0.48*0.68</f>
        <v>0.411264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8.0" customHeight="1">
      <c r="A78" s="21"/>
      <c r="B78" s="70" t="s">
        <v>100</v>
      </c>
      <c r="C78" s="57">
        <v>90.0</v>
      </c>
      <c r="D78" s="58">
        <v>125.0</v>
      </c>
      <c r="E78" s="57">
        <v>180.0</v>
      </c>
      <c r="F78" s="58">
        <v>127.3</v>
      </c>
      <c r="G78" s="59" t="s">
        <v>85</v>
      </c>
      <c r="H78" s="60">
        <v>0.0</v>
      </c>
      <c r="I78" s="71" t="s">
        <v>80</v>
      </c>
      <c r="J78" s="57" t="s">
        <v>35</v>
      </c>
      <c r="K78" s="62">
        <v>2900.0</v>
      </c>
      <c r="L78" s="62">
        <v>627.0</v>
      </c>
      <c r="M78" s="66">
        <f>1.31*0.48*0.68</f>
        <v>0.427584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8.0" customHeight="1">
      <c r="A79" s="21"/>
      <c r="B79" s="70" t="s">
        <v>101</v>
      </c>
      <c r="C79" s="57">
        <v>15.0</v>
      </c>
      <c r="D79" s="58">
        <v>20.0</v>
      </c>
      <c r="E79" s="57">
        <v>180.0</v>
      </c>
      <c r="F79" s="58">
        <v>24.5</v>
      </c>
      <c r="G79" s="59" t="s">
        <v>102</v>
      </c>
      <c r="H79" s="60">
        <v>0.0</v>
      </c>
      <c r="I79" s="61">
        <v>1575.1889249999997</v>
      </c>
      <c r="J79" s="57" t="s">
        <v>35</v>
      </c>
      <c r="K79" s="62">
        <v>2900.0</v>
      </c>
      <c r="L79" s="62">
        <v>146.0</v>
      </c>
      <c r="M79" s="66">
        <f t="shared" ref="M79:M81" si="21">0.82*0.35*0.57</f>
        <v>0.16359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8.0" customHeight="1">
      <c r="A80" s="21"/>
      <c r="B80" s="70" t="s">
        <v>103</v>
      </c>
      <c r="C80" s="57">
        <v>18.5</v>
      </c>
      <c r="D80" s="58">
        <v>25.0</v>
      </c>
      <c r="E80" s="57">
        <v>180.0</v>
      </c>
      <c r="F80" s="58">
        <v>29.0</v>
      </c>
      <c r="G80" s="59" t="s">
        <v>102</v>
      </c>
      <c r="H80" s="60">
        <v>0.0</v>
      </c>
      <c r="I80" s="61">
        <v>1869.6036449999995</v>
      </c>
      <c r="J80" s="57" t="s">
        <v>35</v>
      </c>
      <c r="K80" s="62">
        <v>2900.0</v>
      </c>
      <c r="L80" s="62">
        <v>157.0</v>
      </c>
      <c r="M80" s="66">
        <f t="shared" si="21"/>
        <v>0.16359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8.0" customHeight="1">
      <c r="A81" s="21"/>
      <c r="B81" s="70" t="s">
        <v>104</v>
      </c>
      <c r="C81" s="57">
        <v>22.0</v>
      </c>
      <c r="D81" s="58">
        <v>30.0</v>
      </c>
      <c r="E81" s="57">
        <v>180.0</v>
      </c>
      <c r="F81" s="58">
        <v>31.5</v>
      </c>
      <c r="G81" s="59" t="s">
        <v>102</v>
      </c>
      <c r="H81" s="60">
        <v>0.0</v>
      </c>
      <c r="I81" s="61">
        <v>2078.6802</v>
      </c>
      <c r="J81" s="57" t="s">
        <v>35</v>
      </c>
      <c r="K81" s="62">
        <v>2900.0</v>
      </c>
      <c r="L81" s="62">
        <v>166.0</v>
      </c>
      <c r="M81" s="66">
        <f t="shared" si="21"/>
        <v>0.16359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8.0" customHeight="1">
      <c r="A82" s="21"/>
      <c r="B82" s="70" t="s">
        <v>105</v>
      </c>
      <c r="C82" s="57">
        <v>22.0</v>
      </c>
      <c r="D82" s="58">
        <v>30.0</v>
      </c>
      <c r="E82" s="57">
        <v>200.0</v>
      </c>
      <c r="F82" s="58">
        <v>26.8</v>
      </c>
      <c r="G82" s="59" t="s">
        <v>102</v>
      </c>
      <c r="H82" s="60">
        <v>0.0</v>
      </c>
      <c r="I82" s="61">
        <v>2164.8370499999996</v>
      </c>
      <c r="J82" s="57" t="s">
        <v>35</v>
      </c>
      <c r="K82" s="62">
        <v>2900.0</v>
      </c>
      <c r="L82" s="62">
        <v>216.0</v>
      </c>
      <c r="M82" s="66">
        <f>0.92*0.43*0.55</f>
        <v>0.21758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8.0" customHeight="1">
      <c r="A83" s="21"/>
      <c r="B83" s="56" t="s">
        <v>106</v>
      </c>
      <c r="C83" s="57">
        <v>30.0</v>
      </c>
      <c r="D83" s="58">
        <v>40.0</v>
      </c>
      <c r="E83" s="57">
        <v>200.0</v>
      </c>
      <c r="F83" s="58">
        <v>34.2</v>
      </c>
      <c r="G83" s="59" t="s">
        <v>102</v>
      </c>
      <c r="H83" s="60">
        <v>0.0</v>
      </c>
      <c r="I83" s="61">
        <v>2757.4870199999996</v>
      </c>
      <c r="J83" s="57" t="s">
        <v>35</v>
      </c>
      <c r="K83" s="62">
        <v>2900.0</v>
      </c>
      <c r="L83" s="62">
        <v>267.0</v>
      </c>
      <c r="M83" s="66">
        <f>0.92*0.43*0.66</f>
        <v>0.261096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8.0" customHeight="1">
      <c r="A84" s="21"/>
      <c r="B84" s="56" t="s">
        <v>107</v>
      </c>
      <c r="C84" s="57">
        <v>37.0</v>
      </c>
      <c r="D84" s="58">
        <v>50.0</v>
      </c>
      <c r="E84" s="57">
        <v>200.0</v>
      </c>
      <c r="F84" s="58">
        <v>45.0</v>
      </c>
      <c r="G84" s="59" t="s">
        <v>102</v>
      </c>
      <c r="H84" s="60">
        <v>0.0</v>
      </c>
      <c r="I84" s="61">
        <v>3056.2680599999994</v>
      </c>
      <c r="J84" s="57" t="s">
        <v>35</v>
      </c>
      <c r="K84" s="62">
        <v>2900.0</v>
      </c>
      <c r="L84" s="62">
        <v>287.0</v>
      </c>
      <c r="M84" s="66">
        <f>0.92*0.43*0.65</f>
        <v>0.25714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8.0" customHeight="1">
      <c r="A85" s="21"/>
      <c r="B85" s="70" t="s">
        <v>108</v>
      </c>
      <c r="C85" s="57">
        <v>45.0</v>
      </c>
      <c r="D85" s="58">
        <v>60.0</v>
      </c>
      <c r="E85" s="57">
        <v>200.0</v>
      </c>
      <c r="F85" s="58">
        <v>56.0</v>
      </c>
      <c r="G85" s="59" t="s">
        <v>102</v>
      </c>
      <c r="H85" s="60">
        <v>0.0</v>
      </c>
      <c r="I85" s="71" t="s">
        <v>80</v>
      </c>
      <c r="J85" s="57" t="s">
        <v>35</v>
      </c>
      <c r="K85" s="62">
        <v>2900.0</v>
      </c>
      <c r="L85" s="62">
        <v>366.0</v>
      </c>
      <c r="M85" s="66">
        <f>1*0.45*0.69</f>
        <v>0.3105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8.0" customHeight="1">
      <c r="A86" s="21"/>
      <c r="B86" s="70" t="s">
        <v>109</v>
      </c>
      <c r="C86" s="57">
        <v>55.0</v>
      </c>
      <c r="D86" s="58">
        <v>75.0</v>
      </c>
      <c r="E86" s="57">
        <v>200.0</v>
      </c>
      <c r="F86" s="58">
        <v>71.7</v>
      </c>
      <c r="G86" s="59" t="s">
        <v>102</v>
      </c>
      <c r="H86" s="60">
        <v>0.0</v>
      </c>
      <c r="I86" s="71" t="s">
        <v>80</v>
      </c>
      <c r="J86" s="57" t="s">
        <v>35</v>
      </c>
      <c r="K86" s="62">
        <v>2900.0</v>
      </c>
      <c r="L86" s="62">
        <v>445.0</v>
      </c>
      <c r="M86" s="66">
        <f t="shared" ref="M86:M87" si="22">1.05*0.53*0.72</f>
        <v>0.40068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8.0" customHeight="1">
      <c r="A87" s="21"/>
      <c r="B87" s="70" t="s">
        <v>110</v>
      </c>
      <c r="C87" s="57">
        <v>75.0</v>
      </c>
      <c r="D87" s="58">
        <v>100.0</v>
      </c>
      <c r="E87" s="57">
        <v>240.0</v>
      </c>
      <c r="F87" s="58">
        <v>78.0</v>
      </c>
      <c r="G87" s="59" t="s">
        <v>102</v>
      </c>
      <c r="H87" s="60">
        <v>0.0</v>
      </c>
      <c r="I87" s="71" t="s">
        <v>80</v>
      </c>
      <c r="J87" s="57" t="s">
        <v>35</v>
      </c>
      <c r="K87" s="62">
        <v>2900.0</v>
      </c>
      <c r="L87" s="62">
        <v>577.0</v>
      </c>
      <c r="M87" s="66">
        <f t="shared" si="22"/>
        <v>0.40068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8.0" customHeight="1">
      <c r="A88" s="21"/>
      <c r="B88" s="70" t="s">
        <v>111</v>
      </c>
      <c r="C88" s="57">
        <v>90.0</v>
      </c>
      <c r="D88" s="58">
        <v>125.0</v>
      </c>
      <c r="E88" s="57">
        <v>240.0</v>
      </c>
      <c r="F88" s="58">
        <v>87.0</v>
      </c>
      <c r="G88" s="59" t="s">
        <v>102</v>
      </c>
      <c r="H88" s="60">
        <v>0.0</v>
      </c>
      <c r="I88" s="71" t="s">
        <v>80</v>
      </c>
      <c r="J88" s="57" t="s">
        <v>35</v>
      </c>
      <c r="K88" s="62">
        <v>2900.0</v>
      </c>
      <c r="L88" s="62">
        <v>612.0</v>
      </c>
      <c r="M88" s="66">
        <f>1.33*0.45*0.69</f>
        <v>0.412965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8.0" customHeight="1">
      <c r="A89" s="21"/>
      <c r="B89" s="70" t="s">
        <v>112</v>
      </c>
      <c r="C89" s="57">
        <v>75.0</v>
      </c>
      <c r="D89" s="58">
        <v>100.0</v>
      </c>
      <c r="E89" s="57">
        <v>240.0</v>
      </c>
      <c r="F89" s="58">
        <v>70.7</v>
      </c>
      <c r="G89" s="59" t="s">
        <v>102</v>
      </c>
      <c r="H89" s="60">
        <v>0.0</v>
      </c>
      <c r="I89" s="71" t="s">
        <v>80</v>
      </c>
      <c r="J89" s="57" t="s">
        <v>35</v>
      </c>
      <c r="K89" s="62">
        <v>2900.0</v>
      </c>
      <c r="L89" s="62">
        <v>591.0</v>
      </c>
      <c r="M89" s="66">
        <f>1.29*0.51*0.74</f>
        <v>0.486846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8.0" customHeight="1">
      <c r="A90" s="21"/>
      <c r="B90" s="70" t="s">
        <v>113</v>
      </c>
      <c r="C90" s="57">
        <v>90.0</v>
      </c>
      <c r="D90" s="58">
        <v>125.0</v>
      </c>
      <c r="E90" s="57">
        <v>240.0</v>
      </c>
      <c r="F90" s="58">
        <v>90.7</v>
      </c>
      <c r="G90" s="59" t="s">
        <v>102</v>
      </c>
      <c r="H90" s="60">
        <v>0.0</v>
      </c>
      <c r="I90" s="71" t="s">
        <v>80</v>
      </c>
      <c r="J90" s="57" t="s">
        <v>35</v>
      </c>
      <c r="K90" s="62">
        <v>2900.0</v>
      </c>
      <c r="L90" s="62">
        <v>626.0</v>
      </c>
      <c r="M90" s="66">
        <f>1.34*0.51*0.74</f>
        <v>0.505716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8.0" customHeight="1">
      <c r="A91" s="21"/>
      <c r="B91" s="70" t="s">
        <v>114</v>
      </c>
      <c r="C91" s="57">
        <v>110.0</v>
      </c>
      <c r="D91" s="58">
        <v>150.0</v>
      </c>
      <c r="E91" s="57">
        <v>240.0</v>
      </c>
      <c r="F91" s="58">
        <v>108.7</v>
      </c>
      <c r="G91" s="59" t="s">
        <v>102</v>
      </c>
      <c r="H91" s="60">
        <v>0.0</v>
      </c>
      <c r="I91" s="71" t="s">
        <v>80</v>
      </c>
      <c r="J91" s="57" t="s">
        <v>35</v>
      </c>
      <c r="K91" s="62">
        <v>2900.0</v>
      </c>
      <c r="L91" s="62">
        <v>972.0</v>
      </c>
      <c r="M91" s="66">
        <f>1.5*0.51*0.74</f>
        <v>0.5661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8.0" customHeight="1">
      <c r="A92" s="21"/>
      <c r="B92" s="70" t="s">
        <v>115</v>
      </c>
      <c r="C92" s="57">
        <v>132.0</v>
      </c>
      <c r="D92" s="58">
        <v>180.0</v>
      </c>
      <c r="E92" s="57">
        <v>240.0</v>
      </c>
      <c r="F92" s="58">
        <v>119.7</v>
      </c>
      <c r="G92" s="59" t="s">
        <v>102</v>
      </c>
      <c r="H92" s="60">
        <v>0.0</v>
      </c>
      <c r="I92" s="71" t="s">
        <v>80</v>
      </c>
      <c r="J92" s="57" t="s">
        <v>35</v>
      </c>
      <c r="K92" s="62">
        <v>2900.0</v>
      </c>
      <c r="L92" s="62">
        <v>1087.0</v>
      </c>
      <c r="M92" s="66">
        <f t="shared" ref="M92:M93" si="23">1.61*0.51*0.74</f>
        <v>0.607614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8.0" customHeight="1">
      <c r="A93" s="21"/>
      <c r="B93" s="70" t="s">
        <v>116</v>
      </c>
      <c r="C93" s="57">
        <v>160.0</v>
      </c>
      <c r="D93" s="58">
        <v>220.0</v>
      </c>
      <c r="E93" s="57">
        <v>240.0</v>
      </c>
      <c r="F93" s="58">
        <v>138.7</v>
      </c>
      <c r="G93" s="59" t="s">
        <v>102</v>
      </c>
      <c r="H93" s="60">
        <v>0.0</v>
      </c>
      <c r="I93" s="71" t="s">
        <v>80</v>
      </c>
      <c r="J93" s="57" t="s">
        <v>35</v>
      </c>
      <c r="K93" s="62">
        <v>2900.0</v>
      </c>
      <c r="L93" s="62">
        <v>1125.0</v>
      </c>
      <c r="M93" s="66">
        <f t="shared" si="23"/>
        <v>0.607614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8.0" customHeight="1">
      <c r="A94" s="21"/>
      <c r="B94" s="70" t="s">
        <v>117</v>
      </c>
      <c r="C94" s="57">
        <v>45.0</v>
      </c>
      <c r="D94" s="58">
        <v>60.0</v>
      </c>
      <c r="E94" s="57">
        <v>280.0</v>
      </c>
      <c r="F94" s="58">
        <v>35.0</v>
      </c>
      <c r="G94" s="59" t="s">
        <v>118</v>
      </c>
      <c r="H94" s="60">
        <v>0.0</v>
      </c>
      <c r="I94" s="71" t="s">
        <v>80</v>
      </c>
      <c r="J94" s="57" t="s">
        <v>35</v>
      </c>
      <c r="K94" s="62">
        <v>2900.0</v>
      </c>
      <c r="L94" s="62">
        <v>378.0</v>
      </c>
      <c r="M94" s="66">
        <f>1.13*0.45*0.68</f>
        <v>0.34578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8.0" customHeight="1">
      <c r="A95" s="21"/>
      <c r="B95" s="70" t="s">
        <v>119</v>
      </c>
      <c r="C95" s="57">
        <v>55.0</v>
      </c>
      <c r="D95" s="58">
        <v>75.0</v>
      </c>
      <c r="E95" s="57">
        <v>280.0</v>
      </c>
      <c r="F95" s="58">
        <v>45.0</v>
      </c>
      <c r="G95" s="59" t="s">
        <v>118</v>
      </c>
      <c r="H95" s="60">
        <v>0.0</v>
      </c>
      <c r="I95" s="71" t="s">
        <v>80</v>
      </c>
      <c r="J95" s="57" t="s">
        <v>35</v>
      </c>
      <c r="K95" s="62">
        <v>2900.0</v>
      </c>
      <c r="L95" s="62">
        <v>457.0</v>
      </c>
      <c r="M95" s="66">
        <f>1.22*0.45*0.68</f>
        <v>0.37332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8.0" customHeight="1">
      <c r="A96" s="21"/>
      <c r="B96" s="70" t="s">
        <v>120</v>
      </c>
      <c r="C96" s="57">
        <v>75.0</v>
      </c>
      <c r="D96" s="58">
        <v>100.0</v>
      </c>
      <c r="E96" s="57">
        <v>280.0</v>
      </c>
      <c r="F96" s="58">
        <v>56.0</v>
      </c>
      <c r="G96" s="59" t="s">
        <v>118</v>
      </c>
      <c r="H96" s="60">
        <v>0.0</v>
      </c>
      <c r="I96" s="71" t="s">
        <v>80</v>
      </c>
      <c r="J96" s="57" t="s">
        <v>35</v>
      </c>
      <c r="K96" s="62">
        <v>2900.0</v>
      </c>
      <c r="L96" s="62">
        <v>589.0</v>
      </c>
      <c r="M96" s="66">
        <f>1.29*0.45*0.68</f>
        <v>0.39474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8.0" customHeight="1">
      <c r="A97" s="21"/>
      <c r="B97" s="70" t="s">
        <v>121</v>
      </c>
      <c r="C97" s="57">
        <v>55.0</v>
      </c>
      <c r="D97" s="58">
        <v>75.0</v>
      </c>
      <c r="E97" s="57">
        <v>200.0</v>
      </c>
      <c r="F97" s="58">
        <v>63.0</v>
      </c>
      <c r="G97" s="59" t="s">
        <v>118</v>
      </c>
      <c r="H97" s="60">
        <v>0.0</v>
      </c>
      <c r="I97" s="71" t="s">
        <v>80</v>
      </c>
      <c r="J97" s="57" t="s">
        <v>35</v>
      </c>
      <c r="K97" s="62">
        <v>2900.0</v>
      </c>
      <c r="L97" s="62">
        <v>457.0</v>
      </c>
      <c r="M97" s="66">
        <f>1.22*0.53*0.72</f>
        <v>0.465552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8.0" customHeight="1">
      <c r="A98" s="21"/>
      <c r="B98" s="70" t="s">
        <v>122</v>
      </c>
      <c r="C98" s="57">
        <v>75.0</v>
      </c>
      <c r="D98" s="58">
        <v>100.0</v>
      </c>
      <c r="E98" s="57">
        <v>240.0</v>
      </c>
      <c r="F98" s="58">
        <v>70.0</v>
      </c>
      <c r="G98" s="59" t="s">
        <v>118</v>
      </c>
      <c r="H98" s="60">
        <v>0.0</v>
      </c>
      <c r="I98" s="71" t="s">
        <v>80</v>
      </c>
      <c r="J98" s="57" t="s">
        <v>35</v>
      </c>
      <c r="K98" s="62">
        <v>2900.0</v>
      </c>
      <c r="L98" s="62">
        <v>589.0</v>
      </c>
      <c r="M98" s="66">
        <f>1.29*0.53*0.72</f>
        <v>0.492264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8.0" customHeight="1">
      <c r="A99" s="21"/>
      <c r="B99" s="70" t="s">
        <v>123</v>
      </c>
      <c r="C99" s="57">
        <v>90.0</v>
      </c>
      <c r="D99" s="58">
        <v>125.0</v>
      </c>
      <c r="E99" s="57">
        <v>280.0</v>
      </c>
      <c r="F99" s="58">
        <v>73.5</v>
      </c>
      <c r="G99" s="59" t="s">
        <v>118</v>
      </c>
      <c r="H99" s="60">
        <v>0.0</v>
      </c>
      <c r="I99" s="71" t="s">
        <v>80</v>
      </c>
      <c r="J99" s="57" t="s">
        <v>35</v>
      </c>
      <c r="K99" s="62">
        <v>2900.0</v>
      </c>
      <c r="L99" s="62">
        <v>624.0</v>
      </c>
      <c r="M99" s="66">
        <f>1.34*0.53*0.72</f>
        <v>0.511344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7.5" customHeight="1">
      <c r="A100" s="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73" t="s">
        <v>124</v>
      </c>
      <c r="C101" s="74" t="s">
        <v>125</v>
      </c>
      <c r="D101" s="75"/>
      <c r="E101" s="76"/>
      <c r="F101" s="76"/>
      <c r="G101" s="76"/>
      <c r="H101" s="76"/>
      <c r="I101" s="76"/>
      <c r="J101" s="76"/>
      <c r="K101" s="76"/>
      <c r="L101" s="76"/>
      <c r="M101" s="76"/>
      <c r="N101" s="7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78" t="s">
        <v>126</v>
      </c>
      <c r="C102" s="79" t="s">
        <v>127</v>
      </c>
      <c r="D102" s="80"/>
      <c r="E102" s="81"/>
      <c r="F102" s="81"/>
      <c r="G102" s="81"/>
      <c r="H102" s="81"/>
      <c r="I102" s="81"/>
      <c r="J102" s="81"/>
      <c r="K102" s="81"/>
      <c r="L102" s="81"/>
      <c r="M102" s="8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78" t="s">
        <v>128</v>
      </c>
      <c r="C103" s="79" t="s">
        <v>129</v>
      </c>
      <c r="D103" s="80"/>
      <c r="E103" s="81"/>
      <c r="F103" s="81"/>
      <c r="G103" s="81"/>
      <c r="H103" s="81"/>
      <c r="I103" s="81"/>
      <c r="J103" s="81"/>
      <c r="K103" s="81"/>
      <c r="L103" s="81"/>
      <c r="M103" s="8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82" t="s">
        <v>130</v>
      </c>
      <c r="C104" s="79" t="s">
        <v>131</v>
      </c>
      <c r="D104" s="83"/>
      <c r="E104" s="84"/>
      <c r="F104" s="84"/>
      <c r="G104" s="84"/>
      <c r="H104" s="84"/>
      <c r="I104" s="84"/>
      <c r="J104" s="84"/>
      <c r="K104" s="84"/>
      <c r="L104" s="84"/>
      <c r="M104" s="8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82" t="s">
        <v>132</v>
      </c>
      <c r="C105" s="85" t="s">
        <v>133</v>
      </c>
      <c r="D105" s="83"/>
      <c r="E105" s="84"/>
      <c r="F105" s="84"/>
      <c r="G105" s="84"/>
      <c r="H105" s="84"/>
      <c r="I105" s="84"/>
      <c r="J105" s="84"/>
      <c r="K105" s="84"/>
      <c r="L105" s="84"/>
      <c r="M105" s="8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82" t="s">
        <v>134</v>
      </c>
      <c r="C106" s="85" t="s">
        <v>135</v>
      </c>
      <c r="D106" s="83"/>
      <c r="E106" s="84"/>
      <c r="F106" s="84"/>
      <c r="G106" s="84"/>
      <c r="H106" s="84"/>
      <c r="I106" s="84"/>
      <c r="J106" s="84"/>
      <c r="K106" s="84"/>
      <c r="L106" s="84"/>
      <c r="M106" s="8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82" t="s">
        <v>136</v>
      </c>
      <c r="C107" s="85" t="s">
        <v>137</v>
      </c>
      <c r="D107" s="83"/>
      <c r="E107" s="84"/>
      <c r="F107" s="84"/>
      <c r="G107" s="84"/>
      <c r="H107" s="84"/>
      <c r="I107" s="84"/>
      <c r="J107" s="84"/>
      <c r="K107" s="84"/>
      <c r="L107" s="84"/>
      <c r="M107" s="8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8"/>
      <c r="B108" s="82"/>
      <c r="C108" s="85"/>
      <c r="D108" s="83"/>
      <c r="E108" s="84"/>
      <c r="F108" s="84"/>
      <c r="G108" s="84"/>
      <c r="H108" s="84"/>
      <c r="I108" s="84"/>
      <c r="J108" s="84"/>
      <c r="K108" s="84"/>
      <c r="L108" s="84"/>
      <c r="M108" s="84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86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86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86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86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86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86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86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86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86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8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8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8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8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8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86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86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86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8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86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86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86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86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86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86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86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86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86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86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86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86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86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86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86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86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86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86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86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8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86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86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86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86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86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86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86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86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86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86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86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86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86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86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86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86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86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86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86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86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86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86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86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86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86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86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86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86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86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86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86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86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86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86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86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86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86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86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86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86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86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86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86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86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86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86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86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86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86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86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86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86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86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86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86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86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86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86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86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8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86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86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86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86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86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86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86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86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86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86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86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86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86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86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86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86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86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86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86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86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86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86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86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86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86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86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86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86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86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86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86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86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86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86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86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86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86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86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86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86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86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86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86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86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86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86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86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86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86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86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86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86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86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86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86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86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86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86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86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8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86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86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86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86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86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86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86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86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86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86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86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86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86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86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86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86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86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86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86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86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86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86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86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86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86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86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86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86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86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8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86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86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86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86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86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86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86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86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86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86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86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86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86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86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86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86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86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86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86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86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86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86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86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86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86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86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86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86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86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86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86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86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86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86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86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86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86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86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86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86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86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86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86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86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86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86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86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86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86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86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86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86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86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86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86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86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86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86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86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86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86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86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86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86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86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86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86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86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86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86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86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86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86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86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86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86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86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86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86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86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86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86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86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86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86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86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86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86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86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86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86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86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86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86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86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86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86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86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86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86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86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86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86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86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86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86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86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86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86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86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86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86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86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86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86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86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86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86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86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86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86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86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86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86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86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86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86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86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86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86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86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86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86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86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86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86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86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86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86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86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86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86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86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86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86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86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86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86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86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86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86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86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86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86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86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86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86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86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86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86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86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86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86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86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86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86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86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86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86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86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86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86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86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86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86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86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86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86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86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86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86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86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86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86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86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86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86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86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86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86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86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86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86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86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86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86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86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86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86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86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86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86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86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86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86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86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86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86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86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86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86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86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86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86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86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86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86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86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86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86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86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86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86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86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86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86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86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86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86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86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86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86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86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86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86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86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86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86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86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86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86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86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86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86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86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86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86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86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86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86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86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86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86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86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86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86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86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86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86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86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86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86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86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86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86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86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86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86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86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86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86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86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86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86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86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86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86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86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86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86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86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86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86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86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86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86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86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86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86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86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86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86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86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86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86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86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86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86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86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86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86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86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86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86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86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86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86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86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86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86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86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86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86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86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86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86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86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86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86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86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86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86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86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86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86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86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86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86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86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86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86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86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86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86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86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86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86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86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86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86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86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86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86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86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86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86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86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86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86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86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86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86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86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86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86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86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86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86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86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86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86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86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86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86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86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86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86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86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86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86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86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86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86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86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86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86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86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86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86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86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86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86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86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86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86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86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86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86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86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86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86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86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86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86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86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86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86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86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86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86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86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86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86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86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86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86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86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86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86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86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86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86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86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86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86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86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86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86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86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86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86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86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86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86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86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86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86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86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86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86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86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86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86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86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86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86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86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86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86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86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86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86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86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86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86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86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86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86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86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86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86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86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86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86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86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86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86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86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86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86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86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86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86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86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86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86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86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86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86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86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86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86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86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86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86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86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86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86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86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86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86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86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86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86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86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86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86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86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86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86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86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86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86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86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86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86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86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86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86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86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86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86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86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86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86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86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86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86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86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86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86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86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86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86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86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86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86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86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86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86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86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86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86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86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86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86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86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86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86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86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86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86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86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86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86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86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86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86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86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86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86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86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86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86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86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86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86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86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86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86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86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86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86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86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86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86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86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86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86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86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86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86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86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86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86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86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86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86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86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86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86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86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86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86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86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86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86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86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86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86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86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86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86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86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86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86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86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86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86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86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86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86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86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86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86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86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86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86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86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86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86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86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86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86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86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86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86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86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86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86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86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86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86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86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86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86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86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86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86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86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86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86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86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86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86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86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86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86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86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86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86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86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86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86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86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86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86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86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86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86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86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86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86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86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86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86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86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86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86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86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86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86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86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86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86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86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86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86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86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86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86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86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86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86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86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86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86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86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86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86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86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86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86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86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86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86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86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86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86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86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86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86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86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86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86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86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86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86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86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86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86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86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86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86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86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86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86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86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86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86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86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86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86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86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7">
    <mergeCell ref="B8:B10"/>
    <mergeCell ref="C8:D9"/>
    <mergeCell ref="E8:F8"/>
    <mergeCell ref="H8:I8"/>
    <mergeCell ref="J8:J10"/>
    <mergeCell ref="K8:K9"/>
    <mergeCell ref="A20:A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3" width="9.44"/>
    <col customWidth="1" min="14" max="14" width="15.89"/>
    <col customWidth="1" min="15" max="15" width="10.33"/>
    <col customWidth="1" min="16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7"/>
      <c r="M4" s="8" t="s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11"/>
      <c r="J5" s="11"/>
      <c r="K5" s="11"/>
      <c r="L5" s="12"/>
      <c r="M5" s="8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1"/>
      <c r="B6" s="88" t="s">
        <v>138</v>
      </c>
      <c r="C6" s="88"/>
      <c r="D6" s="88"/>
      <c r="E6" s="88"/>
      <c r="F6" s="88"/>
      <c r="G6" s="88"/>
      <c r="H6" s="88"/>
      <c r="I6" s="88"/>
      <c r="J6" s="88"/>
      <c r="K6" s="15"/>
      <c r="L6" s="89"/>
      <c r="M6" s="90"/>
      <c r="N6" s="91"/>
      <c r="O6" s="9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77"/>
      <c r="B7" s="92"/>
      <c r="C7" s="92"/>
      <c r="D7" s="92"/>
      <c r="E7" s="92"/>
      <c r="F7" s="92"/>
      <c r="G7" s="92"/>
      <c r="H7" s="92"/>
      <c r="I7" s="92"/>
      <c r="J7" s="92"/>
      <c r="K7" s="1"/>
      <c r="L7" s="1"/>
      <c r="M7" s="1"/>
      <c r="N7" s="91"/>
      <c r="O7" s="9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5</v>
      </c>
      <c r="F8" s="26"/>
      <c r="G8" s="93" t="s">
        <v>6</v>
      </c>
      <c r="H8" s="28" t="s">
        <v>7</v>
      </c>
      <c r="I8" s="26"/>
      <c r="J8" s="94" t="s">
        <v>8</v>
      </c>
      <c r="K8" s="30" t="s">
        <v>9</v>
      </c>
      <c r="L8" s="31" t="s">
        <v>10</v>
      </c>
      <c r="M8" s="32" t="s">
        <v>11</v>
      </c>
      <c r="N8" s="95"/>
      <c r="O8" s="95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139</v>
      </c>
      <c r="B9" s="34"/>
      <c r="C9" s="35"/>
      <c r="D9" s="36"/>
      <c r="E9" s="96" t="s">
        <v>13</v>
      </c>
      <c r="F9" s="97" t="s">
        <v>14</v>
      </c>
      <c r="G9" s="98"/>
      <c r="H9" s="99" t="s">
        <v>140</v>
      </c>
      <c r="I9" s="100" t="s">
        <v>141</v>
      </c>
      <c r="J9" s="101"/>
      <c r="K9" s="43"/>
      <c r="L9" s="44"/>
      <c r="M9" s="44"/>
      <c r="N9" s="95"/>
      <c r="O9" s="95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49" t="s">
        <v>20</v>
      </c>
      <c r="I10" s="50" t="s">
        <v>21</v>
      </c>
      <c r="J10" s="102"/>
      <c r="K10" s="52" t="s">
        <v>22</v>
      </c>
      <c r="L10" s="53" t="s">
        <v>23</v>
      </c>
      <c r="M10" s="54" t="s">
        <v>24</v>
      </c>
      <c r="N10" s="95"/>
      <c r="O10" s="95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56" t="s">
        <v>142</v>
      </c>
      <c r="C11" s="103">
        <v>0.75</v>
      </c>
      <c r="D11" s="104">
        <v>1.0</v>
      </c>
      <c r="E11" s="103">
        <v>9.0</v>
      </c>
      <c r="F11" s="104">
        <v>15.0</v>
      </c>
      <c r="G11" s="105" t="s">
        <v>143</v>
      </c>
      <c r="H11" s="106">
        <v>338.1169049999999</v>
      </c>
      <c r="I11" s="107">
        <v>327.94181999999995</v>
      </c>
      <c r="J11" s="108" t="s">
        <v>27</v>
      </c>
      <c r="K11" s="109">
        <v>2900.0</v>
      </c>
      <c r="L11" s="109">
        <v>24.0</v>
      </c>
      <c r="M11" s="110">
        <v>0.045</v>
      </c>
      <c r="N11" s="95"/>
      <c r="O11" s="95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77"/>
      <c r="B12" s="56" t="s">
        <v>144</v>
      </c>
      <c r="C12" s="103">
        <v>1.1</v>
      </c>
      <c r="D12" s="104">
        <v>1.5</v>
      </c>
      <c r="E12" s="103">
        <v>15.0</v>
      </c>
      <c r="F12" s="104">
        <v>16.5</v>
      </c>
      <c r="G12" s="105" t="s">
        <v>143</v>
      </c>
      <c r="H12" s="111" t="s">
        <v>145</v>
      </c>
      <c r="I12" s="107">
        <v>345.67999499999996</v>
      </c>
      <c r="J12" s="108" t="s">
        <v>27</v>
      </c>
      <c r="K12" s="109">
        <v>2900.0</v>
      </c>
      <c r="L12" s="109">
        <v>25.0</v>
      </c>
      <c r="M12" s="110">
        <v>0.045</v>
      </c>
      <c r="N12" s="95"/>
      <c r="O12" s="95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77"/>
      <c r="B13" s="56" t="s">
        <v>146</v>
      </c>
      <c r="C13" s="103">
        <v>1.5</v>
      </c>
      <c r="D13" s="104">
        <v>2.0</v>
      </c>
      <c r="E13" s="103">
        <v>9.0</v>
      </c>
      <c r="F13" s="104">
        <v>22.5</v>
      </c>
      <c r="G13" s="105" t="s">
        <v>143</v>
      </c>
      <c r="H13" s="111" t="s">
        <v>145</v>
      </c>
      <c r="I13" s="107">
        <v>393.1247399999999</v>
      </c>
      <c r="J13" s="108" t="s">
        <v>27</v>
      </c>
      <c r="K13" s="109">
        <v>2900.0</v>
      </c>
      <c r="L13" s="109">
        <v>34.0</v>
      </c>
      <c r="M13" s="110">
        <v>0.045</v>
      </c>
      <c r="N13" s="95"/>
      <c r="O13" s="9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77"/>
      <c r="B14" s="56" t="s">
        <v>147</v>
      </c>
      <c r="C14" s="103">
        <v>2.2</v>
      </c>
      <c r="D14" s="104">
        <v>3.0</v>
      </c>
      <c r="E14" s="103">
        <v>15.0</v>
      </c>
      <c r="F14" s="104">
        <v>24.5</v>
      </c>
      <c r="G14" s="105" t="s">
        <v>143</v>
      </c>
      <c r="H14" s="111" t="s">
        <v>145</v>
      </c>
      <c r="I14" s="107">
        <v>416.9835599999999</v>
      </c>
      <c r="J14" s="108" t="s">
        <v>27</v>
      </c>
      <c r="K14" s="109">
        <v>2900.0</v>
      </c>
      <c r="L14" s="109">
        <v>39.0</v>
      </c>
      <c r="M14" s="110">
        <v>0.045</v>
      </c>
      <c r="N14" s="95"/>
      <c r="O14" s="9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1"/>
      <c r="B15" s="56" t="s">
        <v>148</v>
      </c>
      <c r="C15" s="103">
        <v>3.0</v>
      </c>
      <c r="D15" s="104">
        <v>4.0</v>
      </c>
      <c r="E15" s="103">
        <v>18.0</v>
      </c>
      <c r="F15" s="104">
        <v>25.5</v>
      </c>
      <c r="G15" s="105" t="s">
        <v>143</v>
      </c>
      <c r="H15" s="111" t="s">
        <v>145</v>
      </c>
      <c r="I15" s="107">
        <v>447.23591999999996</v>
      </c>
      <c r="J15" s="108" t="s">
        <v>27</v>
      </c>
      <c r="K15" s="109">
        <v>2900.0</v>
      </c>
      <c r="L15" s="109">
        <v>50.0</v>
      </c>
      <c r="M15" s="110">
        <v>0.048</v>
      </c>
      <c r="N15" s="95"/>
      <c r="O15" s="9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77"/>
      <c r="B16" s="56" t="s">
        <v>149</v>
      </c>
      <c r="C16" s="103">
        <v>4.0</v>
      </c>
      <c r="D16" s="104">
        <v>5.5</v>
      </c>
      <c r="E16" s="103">
        <v>27.0</v>
      </c>
      <c r="F16" s="104">
        <v>35.0</v>
      </c>
      <c r="G16" s="105" t="s">
        <v>143</v>
      </c>
      <c r="H16" s="111" t="s">
        <v>145</v>
      </c>
      <c r="I16" s="107">
        <v>700.4045099999998</v>
      </c>
      <c r="J16" s="108" t="s">
        <v>27</v>
      </c>
      <c r="K16" s="109">
        <v>2900.0</v>
      </c>
      <c r="L16" s="109">
        <v>59.0</v>
      </c>
      <c r="M16" s="110">
        <v>0.077</v>
      </c>
      <c r="N16" s="95"/>
      <c r="O16" s="95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77"/>
      <c r="B17" s="56" t="s">
        <v>150</v>
      </c>
      <c r="C17" s="103">
        <v>5.5</v>
      </c>
      <c r="D17" s="104">
        <v>7.5</v>
      </c>
      <c r="E17" s="103">
        <v>27.0</v>
      </c>
      <c r="F17" s="104">
        <v>40.1</v>
      </c>
      <c r="G17" s="105" t="s">
        <v>143</v>
      </c>
      <c r="H17" s="111" t="s">
        <v>145</v>
      </c>
      <c r="I17" s="107">
        <v>736.699545</v>
      </c>
      <c r="J17" s="108" t="s">
        <v>27</v>
      </c>
      <c r="K17" s="109">
        <v>2900.0</v>
      </c>
      <c r="L17" s="109">
        <v>66.0</v>
      </c>
      <c r="M17" s="110">
        <v>0.077</v>
      </c>
      <c r="N17" s="95"/>
      <c r="O17" s="95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33"/>
      <c r="B18" s="56" t="s">
        <v>151</v>
      </c>
      <c r="C18" s="103">
        <v>7.5</v>
      </c>
      <c r="D18" s="104">
        <v>10.0</v>
      </c>
      <c r="E18" s="103">
        <v>27.0</v>
      </c>
      <c r="F18" s="104">
        <v>50.0</v>
      </c>
      <c r="G18" s="105" t="s">
        <v>143</v>
      </c>
      <c r="H18" s="111" t="s">
        <v>145</v>
      </c>
      <c r="I18" s="107">
        <v>771.98097</v>
      </c>
      <c r="J18" s="108" t="s">
        <v>27</v>
      </c>
      <c r="K18" s="109">
        <v>2900.0</v>
      </c>
      <c r="L18" s="109">
        <v>73.0</v>
      </c>
      <c r="M18" s="110">
        <v>0.077</v>
      </c>
      <c r="N18" s="95"/>
      <c r="O18" s="95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77"/>
      <c r="B19" s="56" t="s">
        <v>152</v>
      </c>
      <c r="C19" s="103">
        <v>1.1</v>
      </c>
      <c r="D19" s="104">
        <v>1.5</v>
      </c>
      <c r="E19" s="103">
        <v>27.0</v>
      </c>
      <c r="F19" s="104">
        <v>10.1</v>
      </c>
      <c r="G19" s="105" t="s">
        <v>153</v>
      </c>
      <c r="H19" s="111" t="s">
        <v>145</v>
      </c>
      <c r="I19" s="107">
        <v>357.88229999999993</v>
      </c>
      <c r="J19" s="108" t="s">
        <v>35</v>
      </c>
      <c r="K19" s="109">
        <v>2900.0</v>
      </c>
      <c r="L19" s="109">
        <v>27.0</v>
      </c>
      <c r="M19" s="110">
        <v>0.048</v>
      </c>
      <c r="N19" s="95"/>
      <c r="O19" s="95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77"/>
      <c r="B20" s="56" t="s">
        <v>154</v>
      </c>
      <c r="C20" s="103">
        <v>1.5</v>
      </c>
      <c r="D20" s="104">
        <v>2.0</v>
      </c>
      <c r="E20" s="103">
        <v>27.0</v>
      </c>
      <c r="F20" s="104">
        <v>13.9</v>
      </c>
      <c r="G20" s="105" t="s">
        <v>153</v>
      </c>
      <c r="H20" s="111" t="s">
        <v>145</v>
      </c>
      <c r="I20" s="107">
        <v>372.4626899999999</v>
      </c>
      <c r="J20" s="108" t="s">
        <v>35</v>
      </c>
      <c r="K20" s="109">
        <v>2900.0</v>
      </c>
      <c r="L20" s="109">
        <v>29.0</v>
      </c>
      <c r="M20" s="110">
        <v>0.048</v>
      </c>
      <c r="N20" s="95"/>
      <c r="O20" s="95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77"/>
      <c r="B21" s="56" t="s">
        <v>155</v>
      </c>
      <c r="C21" s="103">
        <v>2.2</v>
      </c>
      <c r="D21" s="104">
        <v>3.0</v>
      </c>
      <c r="E21" s="103">
        <v>36.0</v>
      </c>
      <c r="F21" s="104">
        <v>16.0</v>
      </c>
      <c r="G21" s="105" t="s">
        <v>153</v>
      </c>
      <c r="H21" s="111" t="s">
        <v>145</v>
      </c>
      <c r="I21" s="107">
        <v>391.56533999999994</v>
      </c>
      <c r="J21" s="108" t="s">
        <v>35</v>
      </c>
      <c r="K21" s="109">
        <v>2900.0</v>
      </c>
      <c r="L21" s="109">
        <v>34.0</v>
      </c>
      <c r="M21" s="110">
        <v>0.048</v>
      </c>
      <c r="N21" s="95"/>
      <c r="O21" s="95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77"/>
      <c r="B22" s="69" t="s">
        <v>156</v>
      </c>
      <c r="C22" s="103">
        <v>3.0</v>
      </c>
      <c r="D22" s="104">
        <v>4.0</v>
      </c>
      <c r="E22" s="103">
        <v>36.0</v>
      </c>
      <c r="F22" s="104">
        <v>21.5</v>
      </c>
      <c r="G22" s="105" t="s">
        <v>153</v>
      </c>
      <c r="H22" s="111" t="s">
        <v>145</v>
      </c>
      <c r="I22" s="107">
        <v>542.9051099999999</v>
      </c>
      <c r="J22" s="108" t="s">
        <v>35</v>
      </c>
      <c r="K22" s="109">
        <v>2900.0</v>
      </c>
      <c r="L22" s="109">
        <v>48.0</v>
      </c>
      <c r="M22" s="110">
        <v>0.069</v>
      </c>
      <c r="N22" s="95"/>
      <c r="O22" s="95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77"/>
      <c r="B23" s="69" t="s">
        <v>157</v>
      </c>
      <c r="C23" s="103">
        <v>4.0</v>
      </c>
      <c r="D23" s="104">
        <v>5.5</v>
      </c>
      <c r="E23" s="103">
        <v>36.0</v>
      </c>
      <c r="F23" s="104">
        <v>28.5</v>
      </c>
      <c r="G23" s="105" t="s">
        <v>153</v>
      </c>
      <c r="H23" s="111" t="s">
        <v>145</v>
      </c>
      <c r="I23" s="107">
        <v>579.2391299999999</v>
      </c>
      <c r="J23" s="108" t="s">
        <v>35</v>
      </c>
      <c r="K23" s="109">
        <v>2900.0</v>
      </c>
      <c r="L23" s="109">
        <v>50.0</v>
      </c>
      <c r="M23" s="110">
        <v>0.069</v>
      </c>
      <c r="N23" s="95"/>
      <c r="O23" s="95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77"/>
      <c r="B24" s="69" t="s">
        <v>158</v>
      </c>
      <c r="C24" s="103">
        <v>5.5</v>
      </c>
      <c r="D24" s="104">
        <v>7.5</v>
      </c>
      <c r="E24" s="103">
        <v>48.0</v>
      </c>
      <c r="F24" s="104">
        <v>28.0</v>
      </c>
      <c r="G24" s="105" t="s">
        <v>153</v>
      </c>
      <c r="H24" s="111" t="s">
        <v>145</v>
      </c>
      <c r="I24" s="107">
        <v>700.4045099999998</v>
      </c>
      <c r="J24" s="108" t="s">
        <v>35</v>
      </c>
      <c r="K24" s="109">
        <v>2900.0</v>
      </c>
      <c r="L24" s="109">
        <v>64.0</v>
      </c>
      <c r="M24" s="110">
        <v>0.078</v>
      </c>
      <c r="N24" s="95"/>
      <c r="O24" s="95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77"/>
      <c r="B25" s="69" t="s">
        <v>159</v>
      </c>
      <c r="C25" s="103">
        <v>7.5</v>
      </c>
      <c r="D25" s="104">
        <v>10.0</v>
      </c>
      <c r="E25" s="103">
        <v>54.0</v>
      </c>
      <c r="F25" s="104">
        <v>34.4</v>
      </c>
      <c r="G25" s="105" t="s">
        <v>153</v>
      </c>
      <c r="H25" s="111" t="s">
        <v>145</v>
      </c>
      <c r="I25" s="107">
        <v>735.3740549999998</v>
      </c>
      <c r="J25" s="108" t="s">
        <v>35</v>
      </c>
      <c r="K25" s="109">
        <v>2900.0</v>
      </c>
      <c r="L25" s="109">
        <v>71.0</v>
      </c>
      <c r="M25" s="110">
        <v>0.078</v>
      </c>
      <c r="N25" s="95"/>
      <c r="O25" s="95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77"/>
      <c r="B26" s="56" t="s">
        <v>160</v>
      </c>
      <c r="C26" s="103">
        <v>4.0</v>
      </c>
      <c r="D26" s="104">
        <v>5.5</v>
      </c>
      <c r="E26" s="103">
        <v>72.0</v>
      </c>
      <c r="F26" s="104">
        <v>14.5</v>
      </c>
      <c r="G26" s="105" t="s">
        <v>161</v>
      </c>
      <c r="H26" s="111" t="s">
        <v>145</v>
      </c>
      <c r="I26" s="107">
        <v>644.7339299999999</v>
      </c>
      <c r="J26" s="108" t="s">
        <v>35</v>
      </c>
      <c r="K26" s="109">
        <v>2900.0</v>
      </c>
      <c r="L26" s="109">
        <v>56.0</v>
      </c>
      <c r="M26" s="110">
        <v>0.1</v>
      </c>
      <c r="N26" s="95"/>
      <c r="O26" s="95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77"/>
      <c r="B27" s="56" t="s">
        <v>162</v>
      </c>
      <c r="C27" s="103">
        <v>5.5</v>
      </c>
      <c r="D27" s="104">
        <v>7.5</v>
      </c>
      <c r="E27" s="103">
        <v>72.0</v>
      </c>
      <c r="F27" s="104">
        <v>19.0</v>
      </c>
      <c r="G27" s="105" t="s">
        <v>161</v>
      </c>
      <c r="H27" s="111" t="s">
        <v>145</v>
      </c>
      <c r="I27" s="107">
        <v>714.4391099999999</v>
      </c>
      <c r="J27" s="108" t="s">
        <v>35</v>
      </c>
      <c r="K27" s="109">
        <v>2900.0</v>
      </c>
      <c r="L27" s="109">
        <v>68.0</v>
      </c>
      <c r="M27" s="110">
        <v>0.1</v>
      </c>
      <c r="N27" s="95"/>
      <c r="O27" s="95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77"/>
      <c r="B28" s="56" t="s">
        <v>163</v>
      </c>
      <c r="C28" s="103">
        <v>7.5</v>
      </c>
      <c r="D28" s="104">
        <v>10.0</v>
      </c>
      <c r="E28" s="103">
        <v>84.0</v>
      </c>
      <c r="F28" s="104">
        <v>23.0</v>
      </c>
      <c r="G28" s="105" t="s">
        <v>161</v>
      </c>
      <c r="H28" s="111" t="s">
        <v>145</v>
      </c>
      <c r="I28" s="107">
        <v>749.6815499999999</v>
      </c>
      <c r="J28" s="108" t="s">
        <v>35</v>
      </c>
      <c r="K28" s="109">
        <v>2900.0</v>
      </c>
      <c r="L28" s="109">
        <v>74.0</v>
      </c>
      <c r="M28" s="110">
        <v>0.1</v>
      </c>
      <c r="N28" s="95"/>
      <c r="O28" s="95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77"/>
      <c r="B29" s="56" t="s">
        <v>164</v>
      </c>
      <c r="C29" s="103">
        <v>9.2</v>
      </c>
      <c r="D29" s="104">
        <v>12.5</v>
      </c>
      <c r="E29" s="103">
        <v>84.0</v>
      </c>
      <c r="F29" s="104">
        <v>28.0</v>
      </c>
      <c r="G29" s="105" t="s">
        <v>161</v>
      </c>
      <c r="H29" s="111" t="s">
        <v>145</v>
      </c>
      <c r="I29" s="107">
        <v>1085.3034149999999</v>
      </c>
      <c r="J29" s="108" t="s">
        <v>35</v>
      </c>
      <c r="K29" s="109">
        <v>2900.0</v>
      </c>
      <c r="L29" s="109">
        <v>90.0</v>
      </c>
      <c r="M29" s="110">
        <v>0.133</v>
      </c>
      <c r="N29" s="95"/>
      <c r="O29" s="95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77"/>
      <c r="B30" s="112" t="s">
        <v>165</v>
      </c>
      <c r="C30" s="103">
        <v>11.0</v>
      </c>
      <c r="D30" s="104">
        <v>15.0</v>
      </c>
      <c r="E30" s="103">
        <v>90.0</v>
      </c>
      <c r="F30" s="104">
        <v>30.8</v>
      </c>
      <c r="G30" s="105" t="s">
        <v>161</v>
      </c>
      <c r="H30" s="111" t="s">
        <v>145</v>
      </c>
      <c r="I30" s="107">
        <v>1402.0955249999997</v>
      </c>
      <c r="J30" s="108" t="s">
        <v>35</v>
      </c>
      <c r="K30" s="109">
        <v>2900.0</v>
      </c>
      <c r="L30" s="109">
        <v>106.0</v>
      </c>
      <c r="M30" s="110">
        <v>0.133</v>
      </c>
      <c r="N30" s="95"/>
      <c r="O30" s="95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77"/>
      <c r="B31" s="112" t="s">
        <v>166</v>
      </c>
      <c r="C31" s="103">
        <v>15.0</v>
      </c>
      <c r="D31" s="104">
        <v>20.0</v>
      </c>
      <c r="E31" s="103">
        <v>90.0</v>
      </c>
      <c r="F31" s="104">
        <v>37.8</v>
      </c>
      <c r="G31" s="105" t="s">
        <v>161</v>
      </c>
      <c r="H31" s="111" t="s">
        <v>145</v>
      </c>
      <c r="I31" s="107">
        <v>1520.0641349999999</v>
      </c>
      <c r="J31" s="108" t="s">
        <v>35</v>
      </c>
      <c r="K31" s="109">
        <v>2900.0</v>
      </c>
      <c r="L31" s="109">
        <v>134.0</v>
      </c>
      <c r="M31" s="110">
        <v>0.157</v>
      </c>
      <c r="N31" s="95"/>
      <c r="O31" s="95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77"/>
      <c r="B32" s="112" t="s">
        <v>167</v>
      </c>
      <c r="C32" s="103">
        <v>11.0</v>
      </c>
      <c r="D32" s="104">
        <v>15.0</v>
      </c>
      <c r="E32" s="103">
        <v>120.0</v>
      </c>
      <c r="F32" s="104">
        <v>24.5</v>
      </c>
      <c r="G32" s="105" t="s">
        <v>168</v>
      </c>
      <c r="H32" s="111" t="s">
        <v>145</v>
      </c>
      <c r="I32" s="107">
        <v>1394.1425849999996</v>
      </c>
      <c r="J32" s="108" t="s">
        <v>35</v>
      </c>
      <c r="K32" s="109">
        <v>2900.0</v>
      </c>
      <c r="L32" s="109">
        <v>113.0</v>
      </c>
      <c r="M32" s="110">
        <v>0.17</v>
      </c>
      <c r="N32" s="95"/>
      <c r="O32" s="95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77"/>
      <c r="B33" s="112" t="s">
        <v>169</v>
      </c>
      <c r="C33" s="103">
        <v>15.0</v>
      </c>
      <c r="D33" s="104">
        <v>20.0</v>
      </c>
      <c r="E33" s="103">
        <v>138.0</v>
      </c>
      <c r="F33" s="104">
        <v>28.5</v>
      </c>
      <c r="G33" s="105" t="s">
        <v>168</v>
      </c>
      <c r="H33" s="111" t="s">
        <v>145</v>
      </c>
      <c r="I33" s="107">
        <v>1513.70958</v>
      </c>
      <c r="J33" s="108" t="s">
        <v>35</v>
      </c>
      <c r="K33" s="109">
        <v>2900.0</v>
      </c>
      <c r="L33" s="109">
        <v>143.0</v>
      </c>
      <c r="M33" s="110">
        <v>0.199</v>
      </c>
      <c r="N33" s="95"/>
      <c r="O33" s="95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8.0" customHeight="1">
      <c r="A34" s="77"/>
      <c r="B34" s="112" t="s">
        <v>170</v>
      </c>
      <c r="C34" s="103">
        <v>18.5</v>
      </c>
      <c r="D34" s="104">
        <v>25.0</v>
      </c>
      <c r="E34" s="103">
        <v>138.0</v>
      </c>
      <c r="F34" s="104">
        <v>33.8</v>
      </c>
      <c r="G34" s="105" t="s">
        <v>168</v>
      </c>
      <c r="H34" s="111" t="s">
        <v>145</v>
      </c>
      <c r="I34" s="107">
        <v>1742.746455</v>
      </c>
      <c r="J34" s="108" t="s">
        <v>35</v>
      </c>
      <c r="K34" s="109">
        <v>2900.0</v>
      </c>
      <c r="L34" s="109">
        <v>150.0</v>
      </c>
      <c r="M34" s="110">
        <v>0.199</v>
      </c>
      <c r="N34" s="95"/>
      <c r="O34" s="95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8.0" customHeight="1">
      <c r="A35" s="77"/>
      <c r="B35" s="112" t="s">
        <v>171</v>
      </c>
      <c r="C35" s="103">
        <v>22.0</v>
      </c>
      <c r="D35" s="104">
        <v>30.0</v>
      </c>
      <c r="E35" s="103">
        <v>138.0</v>
      </c>
      <c r="F35" s="104">
        <v>41.0</v>
      </c>
      <c r="G35" s="105" t="s">
        <v>168</v>
      </c>
      <c r="H35" s="111" t="s">
        <v>145</v>
      </c>
      <c r="I35" s="107">
        <v>2183.3549249999996</v>
      </c>
      <c r="J35" s="108" t="s">
        <v>35</v>
      </c>
      <c r="K35" s="109">
        <v>2900.0</v>
      </c>
      <c r="L35" s="109">
        <v>212.0</v>
      </c>
      <c r="M35" s="110">
        <v>0.221</v>
      </c>
      <c r="N35" s="95"/>
      <c r="O35" s="95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8.0" customHeight="1">
      <c r="A36" s="77"/>
      <c r="B36" s="112" t="s">
        <v>172</v>
      </c>
      <c r="C36" s="103">
        <v>30.0</v>
      </c>
      <c r="D36" s="104">
        <v>40.0</v>
      </c>
      <c r="E36" s="103">
        <v>138.0</v>
      </c>
      <c r="F36" s="104">
        <v>54.5</v>
      </c>
      <c r="G36" s="105" t="s">
        <v>168</v>
      </c>
      <c r="H36" s="111" t="s">
        <v>145</v>
      </c>
      <c r="I36" s="107">
        <v>2726.2600349999993</v>
      </c>
      <c r="J36" s="108" t="s">
        <v>35</v>
      </c>
      <c r="K36" s="109">
        <v>2900.0</v>
      </c>
      <c r="L36" s="109">
        <v>222.0</v>
      </c>
      <c r="M36" s="110">
        <v>0.23800000000000002</v>
      </c>
      <c r="N36" s="95"/>
      <c r="O36" s="95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7.5" customHeight="1">
      <c r="A37" s="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73" t="s">
        <v>124</v>
      </c>
      <c r="C38" s="74" t="s">
        <v>125</v>
      </c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78" t="s">
        <v>126</v>
      </c>
      <c r="C39" s="79" t="s">
        <v>127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78" t="s">
        <v>128</v>
      </c>
      <c r="C40" s="79" t="s">
        <v>129</v>
      </c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82" t="s">
        <v>130</v>
      </c>
      <c r="C41" s="79" t="s">
        <v>131</v>
      </c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82" t="s">
        <v>132</v>
      </c>
      <c r="C42" s="85" t="s">
        <v>133</v>
      </c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82" t="s">
        <v>134</v>
      </c>
      <c r="C43" s="85" t="s">
        <v>135</v>
      </c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82" t="s">
        <v>136</v>
      </c>
      <c r="C44" s="85" t="s">
        <v>137</v>
      </c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77"/>
      <c r="B45" s="82" t="s">
        <v>140</v>
      </c>
      <c r="C45" s="85" t="s">
        <v>173</v>
      </c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91"/>
      <c r="O45" s="9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7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91"/>
      <c r="O46" s="9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7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91"/>
      <c r="O47" s="9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7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91"/>
      <c r="O48" s="9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7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91"/>
      <c r="O49" s="9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7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91"/>
      <c r="O50" s="9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7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91"/>
      <c r="O51" s="9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7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91"/>
      <c r="O52" s="9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7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91"/>
      <c r="O53" s="9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7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1"/>
      <c r="O54" s="9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7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91"/>
      <c r="O55" s="9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7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91"/>
      <c r="O56" s="9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7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91"/>
      <c r="O57" s="9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7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91"/>
      <c r="O58" s="9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7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91"/>
      <c r="O59" s="9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7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91"/>
      <c r="O60" s="9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7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91"/>
      <c r="O61" s="9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7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91"/>
      <c r="O62" s="9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7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91"/>
      <c r="O63" s="9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7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91"/>
      <c r="O64" s="9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7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91"/>
      <c r="O65" s="9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7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91"/>
      <c r="O66" s="9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7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91"/>
      <c r="O67" s="9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7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91"/>
      <c r="O68" s="9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7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91"/>
      <c r="O69" s="9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7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91"/>
      <c r="O70" s="9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7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91"/>
      <c r="O71" s="9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7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91"/>
      <c r="O72" s="9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7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91"/>
      <c r="O73" s="9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7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91"/>
      <c r="O74" s="9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7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91"/>
      <c r="O75" s="9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7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91"/>
      <c r="O76" s="9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7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91"/>
      <c r="O77" s="9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7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91"/>
      <c r="O78" s="9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7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7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91"/>
      <c r="O80" s="9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7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1"/>
      <c r="O81" s="9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7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1"/>
      <c r="O82" s="9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7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91"/>
      <c r="O83" s="9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7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91"/>
      <c r="O84" s="9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7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91"/>
      <c r="O85" s="9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7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91"/>
      <c r="O86" s="9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7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91"/>
      <c r="O87" s="9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7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91"/>
      <c r="O88" s="9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7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1"/>
      <c r="O89" s="9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7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91"/>
      <c r="O90" s="9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7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91"/>
      <c r="O91" s="9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7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91"/>
      <c r="O92" s="9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7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91"/>
      <c r="O93" s="9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7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7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91"/>
      <c r="O95" s="9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7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91"/>
      <c r="O96" s="9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7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91"/>
      <c r="O97" s="9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7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91"/>
      <c r="O98" s="9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7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91"/>
      <c r="O99" s="9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7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91"/>
      <c r="O100" s="9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7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91"/>
      <c r="O101" s="9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7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91"/>
      <c r="O102" s="9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7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91"/>
      <c r="O103" s="9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7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91"/>
      <c r="O104" s="9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7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91"/>
      <c r="O105" s="9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7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91"/>
      <c r="O106" s="9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7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91"/>
      <c r="O107" s="9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7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91"/>
      <c r="O108" s="9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7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91"/>
      <c r="O109" s="9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7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91"/>
      <c r="O110" s="9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7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91"/>
      <c r="O111" s="9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7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91"/>
      <c r="O112" s="9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7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91"/>
      <c r="O113" s="9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7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91"/>
      <c r="O114" s="9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7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91"/>
      <c r="O115" s="9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7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91"/>
      <c r="O116" s="9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7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91"/>
      <c r="O117" s="9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7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91"/>
      <c r="O118" s="9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7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91"/>
      <c r="O119" s="9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7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91"/>
      <c r="O120" s="9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7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91"/>
      <c r="O121" s="9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91"/>
      <c r="O122" s="9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91"/>
      <c r="O123" s="9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91"/>
      <c r="O124" s="9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91"/>
      <c r="O125" s="9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91"/>
      <c r="O126" s="9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91"/>
      <c r="O127" s="9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91"/>
      <c r="O128" s="9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91"/>
      <c r="O129" s="9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91"/>
      <c r="O130" s="9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91"/>
      <c r="O131" s="9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91"/>
      <c r="O132" s="9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91"/>
      <c r="O133" s="9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91"/>
      <c r="O134" s="9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91"/>
      <c r="O135" s="9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91"/>
      <c r="O136" s="9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91"/>
      <c r="O137" s="9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91"/>
      <c r="O138" s="9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91"/>
      <c r="O139" s="9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91"/>
      <c r="O141" s="9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91"/>
      <c r="O142" s="9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91"/>
      <c r="O143" s="9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91"/>
      <c r="O144" s="9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91"/>
      <c r="O145" s="9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91"/>
      <c r="O146" s="9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91"/>
      <c r="O147" s="9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91"/>
      <c r="O149" s="9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91"/>
      <c r="O150" s="9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91"/>
      <c r="O151" s="9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91"/>
      <c r="O152" s="9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91"/>
      <c r="O153" s="9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91"/>
      <c r="O154" s="9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91"/>
      <c r="O155" s="9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91"/>
      <c r="O156" s="9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91"/>
      <c r="O157" s="9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91"/>
      <c r="O158" s="9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91"/>
      <c r="O159" s="9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91"/>
      <c r="O160" s="9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91"/>
      <c r="O161" s="9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91"/>
      <c r="O162" s="9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91"/>
      <c r="O163" s="9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91"/>
      <c r="O164" s="9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91"/>
      <c r="O165" s="9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91"/>
      <c r="O166" s="9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91"/>
      <c r="O167" s="9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91"/>
      <c r="O168" s="9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91"/>
      <c r="O169" s="9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91"/>
      <c r="O170" s="9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91"/>
      <c r="O171" s="9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91"/>
      <c r="O172" s="9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91"/>
      <c r="O173" s="9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91"/>
      <c r="O174" s="9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91"/>
      <c r="O175" s="9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91"/>
      <c r="O176" s="9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91"/>
      <c r="O177" s="9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91"/>
      <c r="O178" s="9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91"/>
      <c r="O179" s="9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91"/>
      <c r="O180" s="9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91"/>
      <c r="O181" s="9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91"/>
      <c r="O182" s="9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91"/>
      <c r="O183" s="9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91"/>
      <c r="O184" s="9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91"/>
      <c r="O185" s="9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91"/>
      <c r="O186" s="9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91"/>
      <c r="O187" s="9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91"/>
      <c r="O188" s="9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91"/>
      <c r="O189" s="9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91"/>
      <c r="O190" s="9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91"/>
      <c r="O191" s="9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91"/>
      <c r="O192" s="9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91"/>
      <c r="O193" s="9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91"/>
      <c r="O194" s="9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91"/>
      <c r="O195" s="9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91"/>
      <c r="O196" s="9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91"/>
      <c r="O197" s="9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91"/>
      <c r="O198" s="9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91"/>
      <c r="O199" s="9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91"/>
      <c r="O200" s="9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91"/>
      <c r="O201" s="9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91"/>
      <c r="O202" s="9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91"/>
      <c r="O203" s="9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91"/>
      <c r="O204" s="9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91"/>
      <c r="O205" s="9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91"/>
      <c r="O206" s="9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91"/>
      <c r="O207" s="9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91"/>
      <c r="O208" s="9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91"/>
      <c r="O209" s="9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91"/>
      <c r="O210" s="9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91"/>
      <c r="O211" s="9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91"/>
      <c r="O212" s="9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91"/>
      <c r="O213" s="9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91"/>
      <c r="O214" s="9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91"/>
      <c r="O215" s="9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91"/>
      <c r="O216" s="9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91"/>
      <c r="O217" s="9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91"/>
      <c r="O218" s="9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91"/>
      <c r="O219" s="9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91"/>
      <c r="O220" s="9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91"/>
      <c r="O221" s="9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91"/>
      <c r="O222" s="9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91"/>
      <c r="O223" s="9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91"/>
      <c r="O224" s="9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91"/>
      <c r="O225" s="9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91"/>
      <c r="O226" s="9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91"/>
      <c r="O227" s="9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91"/>
      <c r="O228" s="9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91"/>
      <c r="O229" s="9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91"/>
      <c r="O230" s="9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91"/>
      <c r="O231" s="9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91"/>
      <c r="O232" s="9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91"/>
      <c r="O233" s="9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91"/>
      <c r="O234" s="9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91"/>
      <c r="O235" s="9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91"/>
      <c r="O236" s="9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91"/>
      <c r="O237" s="9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91"/>
      <c r="O238" s="9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91"/>
      <c r="O239" s="9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91"/>
      <c r="O240" s="9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91"/>
      <c r="O241" s="9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91"/>
      <c r="O242" s="9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91"/>
      <c r="O243" s="9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91"/>
      <c r="O244" s="9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91"/>
      <c r="O245" s="9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91"/>
      <c r="O246" s="9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91"/>
      <c r="O247" s="9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91"/>
      <c r="O248" s="9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91"/>
      <c r="O249" s="9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91"/>
      <c r="O250" s="9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91"/>
      <c r="O251" s="9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1"/>
      <c r="O252" s="9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91"/>
      <c r="O253" s="9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91"/>
      <c r="O254" s="9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91"/>
      <c r="O255" s="9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91"/>
      <c r="O256" s="9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91"/>
      <c r="O257" s="9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91"/>
      <c r="O258" s="9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91"/>
      <c r="O259" s="9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91"/>
      <c r="O260" s="9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91"/>
      <c r="O261" s="9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91"/>
      <c r="O262" s="9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91"/>
      <c r="O263" s="9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91"/>
      <c r="O264" s="9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91"/>
      <c r="O265" s="9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91"/>
      <c r="O266" s="9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91"/>
      <c r="O267" s="9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91"/>
      <c r="O268" s="9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91"/>
      <c r="O269" s="9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91"/>
      <c r="O270" s="9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91"/>
      <c r="O271" s="9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91"/>
      <c r="O272" s="9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91"/>
      <c r="O273" s="9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91"/>
      <c r="O274" s="9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91"/>
      <c r="O275" s="9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91"/>
      <c r="O276" s="9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91"/>
      <c r="O277" s="9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91"/>
      <c r="O278" s="9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91"/>
      <c r="O279" s="9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91"/>
      <c r="O280" s="9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91"/>
      <c r="O281" s="9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91"/>
      <c r="O282" s="9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91"/>
      <c r="O283" s="9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91"/>
      <c r="O284" s="9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91"/>
      <c r="O285" s="9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91"/>
      <c r="O286" s="9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91"/>
      <c r="O287" s="9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91"/>
      <c r="O288" s="9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91"/>
      <c r="O289" s="9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91"/>
      <c r="O290" s="9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91"/>
      <c r="O291" s="9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91"/>
      <c r="O292" s="9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91"/>
      <c r="O293" s="9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91"/>
      <c r="O294" s="9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91"/>
      <c r="O295" s="9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91"/>
      <c r="O296" s="9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91"/>
      <c r="O297" s="9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91"/>
      <c r="O298" s="9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91"/>
      <c r="O299" s="9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91"/>
      <c r="O300" s="9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91"/>
      <c r="O301" s="9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91"/>
      <c r="O302" s="9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91"/>
      <c r="O303" s="9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91"/>
      <c r="O304" s="9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91"/>
      <c r="O305" s="9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91"/>
      <c r="O306" s="9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91"/>
      <c r="O307" s="9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91"/>
      <c r="O308" s="9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91"/>
      <c r="O309" s="9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91"/>
      <c r="O310" s="9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91"/>
      <c r="O311" s="9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91"/>
      <c r="O312" s="9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91"/>
      <c r="O313" s="9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91"/>
      <c r="O314" s="9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91"/>
      <c r="O315" s="9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91"/>
      <c r="O316" s="9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91"/>
      <c r="O317" s="9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91"/>
      <c r="O318" s="9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91"/>
      <c r="O319" s="9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91"/>
      <c r="O320" s="9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91"/>
      <c r="O321" s="9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91"/>
      <c r="O322" s="9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91"/>
      <c r="O323" s="9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91"/>
      <c r="O324" s="9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91"/>
      <c r="O325" s="9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91"/>
      <c r="O326" s="9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91"/>
      <c r="O327" s="9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91"/>
      <c r="O328" s="9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91"/>
      <c r="O329" s="9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91"/>
      <c r="O330" s="9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91"/>
      <c r="O331" s="9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91"/>
      <c r="O332" s="9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91"/>
      <c r="O333" s="9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91"/>
      <c r="O334" s="9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91"/>
      <c r="O335" s="9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91"/>
      <c r="O336" s="9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91"/>
      <c r="O337" s="9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91"/>
      <c r="O338" s="9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91"/>
      <c r="O339" s="9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91"/>
      <c r="O340" s="9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91"/>
      <c r="O341" s="9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91"/>
      <c r="O342" s="9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91"/>
      <c r="O343" s="9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91"/>
      <c r="O344" s="9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91"/>
      <c r="O345" s="9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91"/>
      <c r="O346" s="9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91"/>
      <c r="O347" s="9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91"/>
      <c r="O348" s="9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91"/>
      <c r="O349" s="9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91"/>
      <c r="O350" s="9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91"/>
      <c r="O351" s="9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91"/>
      <c r="O352" s="9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91"/>
      <c r="O353" s="9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91"/>
      <c r="O354" s="9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91"/>
      <c r="O355" s="9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91"/>
      <c r="O356" s="9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91"/>
      <c r="O357" s="9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91"/>
      <c r="O358" s="9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91"/>
      <c r="O359" s="9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91"/>
      <c r="O360" s="9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91"/>
      <c r="O361" s="9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91"/>
      <c r="O362" s="9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91"/>
      <c r="O363" s="9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91"/>
      <c r="O364" s="9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91"/>
      <c r="O365" s="9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91"/>
      <c r="O366" s="9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91"/>
      <c r="O367" s="9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91"/>
      <c r="O368" s="9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91"/>
      <c r="O369" s="9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91"/>
      <c r="O370" s="9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91"/>
      <c r="O371" s="9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91"/>
      <c r="O372" s="9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91"/>
      <c r="O373" s="9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91"/>
      <c r="O374" s="9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91"/>
      <c r="O375" s="9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91"/>
      <c r="O376" s="9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91"/>
      <c r="O377" s="9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91"/>
      <c r="O378" s="9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91"/>
      <c r="O379" s="9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91"/>
      <c r="O380" s="9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91"/>
      <c r="O381" s="9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91"/>
      <c r="O382" s="9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91"/>
      <c r="O383" s="9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91"/>
      <c r="O384" s="9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91"/>
      <c r="O385" s="9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91"/>
      <c r="O386" s="9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91"/>
      <c r="O387" s="9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91"/>
      <c r="O388" s="9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91"/>
      <c r="O389" s="9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91"/>
      <c r="O390" s="9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91"/>
      <c r="O391" s="9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91"/>
      <c r="O392" s="9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91"/>
      <c r="O393" s="9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91"/>
      <c r="O394" s="9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91"/>
      <c r="O395" s="9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91"/>
      <c r="O396" s="9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91"/>
      <c r="O397" s="9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91"/>
      <c r="O398" s="9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91"/>
      <c r="O399" s="9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91"/>
      <c r="O400" s="9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91"/>
      <c r="O401" s="9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91"/>
      <c r="O402" s="9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91"/>
      <c r="O403" s="9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91"/>
      <c r="O404" s="9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91"/>
      <c r="O405" s="9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91"/>
      <c r="O406" s="9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91"/>
      <c r="O407" s="9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91"/>
      <c r="O408" s="9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91"/>
      <c r="O409" s="9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91"/>
      <c r="O410" s="9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91"/>
      <c r="O411" s="9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91"/>
      <c r="O412" s="9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91"/>
      <c r="O413" s="9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91"/>
      <c r="O414" s="9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91"/>
      <c r="O415" s="9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91"/>
      <c r="O416" s="9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91"/>
      <c r="O417" s="9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91"/>
      <c r="O418" s="9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91"/>
      <c r="O419" s="9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91"/>
      <c r="O420" s="9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91"/>
      <c r="O421" s="9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91"/>
      <c r="O422" s="9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91"/>
      <c r="O423" s="9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91"/>
      <c r="O424" s="9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91"/>
      <c r="O425" s="9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91"/>
      <c r="O426" s="9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91"/>
      <c r="O427" s="9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91"/>
      <c r="O428" s="9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91"/>
      <c r="O429" s="9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91"/>
      <c r="O430" s="9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91"/>
      <c r="O431" s="9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91"/>
      <c r="O432" s="9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91"/>
      <c r="O433" s="9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91"/>
      <c r="O434" s="9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91"/>
      <c r="O435" s="9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91"/>
      <c r="O436" s="9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91"/>
      <c r="O437" s="9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91"/>
      <c r="O438" s="9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91"/>
      <c r="O439" s="9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91"/>
      <c r="O440" s="9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91"/>
      <c r="O441" s="9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91"/>
      <c r="O442" s="9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91"/>
      <c r="O443" s="9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91"/>
      <c r="O444" s="9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91"/>
      <c r="O445" s="9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91"/>
      <c r="O446" s="9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91"/>
      <c r="O447" s="9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91"/>
      <c r="O448" s="9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91"/>
      <c r="O449" s="9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91"/>
      <c r="O450" s="9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91"/>
      <c r="O451" s="9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91"/>
      <c r="O452" s="9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91"/>
      <c r="O453" s="9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91"/>
      <c r="O454" s="9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91"/>
      <c r="O455" s="9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91"/>
      <c r="O456" s="9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91"/>
      <c r="O457" s="9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91"/>
      <c r="O458" s="9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91"/>
      <c r="O459" s="9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91"/>
      <c r="O460" s="9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91"/>
      <c r="O461" s="9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91"/>
      <c r="O462" s="9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91"/>
      <c r="O463" s="9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91"/>
      <c r="O464" s="9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91"/>
      <c r="O465" s="9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91"/>
      <c r="O466" s="9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91"/>
      <c r="O467" s="9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91"/>
      <c r="O468" s="9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91"/>
      <c r="O469" s="9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91"/>
      <c r="O470" s="9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91"/>
      <c r="O471" s="9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91"/>
      <c r="O472" s="9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91"/>
      <c r="O473" s="9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91"/>
      <c r="O474" s="9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91"/>
      <c r="O475" s="9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91"/>
      <c r="O476" s="9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91"/>
      <c r="O477" s="9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91"/>
      <c r="O478" s="9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91"/>
      <c r="O479" s="9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91"/>
      <c r="O480" s="9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91"/>
      <c r="O481" s="9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91"/>
      <c r="O482" s="9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91"/>
      <c r="O483" s="9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91"/>
      <c r="O484" s="9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91"/>
      <c r="O485" s="9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91"/>
      <c r="O486" s="9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91"/>
      <c r="O487" s="9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91"/>
      <c r="O488" s="9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91"/>
      <c r="O489" s="9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91"/>
      <c r="O490" s="9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91"/>
      <c r="O491" s="9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91"/>
      <c r="O492" s="9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91"/>
      <c r="O493" s="9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91"/>
      <c r="O494" s="9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91"/>
      <c r="O495" s="9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91"/>
      <c r="O496" s="9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91"/>
      <c r="O497" s="9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91"/>
      <c r="O498" s="9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91"/>
      <c r="O499" s="9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91"/>
      <c r="O500" s="9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91"/>
      <c r="O501" s="9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91"/>
      <c r="O502" s="9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91"/>
      <c r="O503" s="9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91"/>
      <c r="O504" s="9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91"/>
      <c r="O505" s="9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91"/>
      <c r="O506" s="9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91"/>
      <c r="O507" s="9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91"/>
      <c r="O508" s="9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91"/>
      <c r="O509" s="9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91"/>
      <c r="O510" s="9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91"/>
      <c r="O511" s="9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91"/>
      <c r="O512" s="9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91"/>
      <c r="O513" s="9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91"/>
      <c r="O514" s="9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91"/>
      <c r="O515" s="9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91"/>
      <c r="O516" s="9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91"/>
      <c r="O517" s="9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91"/>
      <c r="O518" s="9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91"/>
      <c r="O519" s="9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91"/>
      <c r="O520" s="9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91"/>
      <c r="O521" s="9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91"/>
      <c r="O522" s="9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91"/>
      <c r="O523" s="9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91"/>
      <c r="O524" s="9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91"/>
      <c r="O525" s="9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91"/>
      <c r="O526" s="9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91"/>
      <c r="O527" s="9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91"/>
      <c r="O528" s="9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91"/>
      <c r="O529" s="9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91"/>
      <c r="O530" s="9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91"/>
      <c r="O531" s="9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91"/>
      <c r="O532" s="9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91"/>
      <c r="O533" s="9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91"/>
      <c r="O534" s="9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91"/>
      <c r="O535" s="9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91"/>
      <c r="O536" s="9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91"/>
      <c r="O537" s="9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91"/>
      <c r="O538" s="9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91"/>
      <c r="O539" s="9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91"/>
      <c r="O540" s="9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91"/>
      <c r="O541" s="9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91"/>
      <c r="O542" s="9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91"/>
      <c r="O543" s="9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91"/>
      <c r="O544" s="9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91"/>
      <c r="O545" s="9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91"/>
      <c r="O546" s="9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91"/>
      <c r="O547" s="9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91"/>
      <c r="O548" s="9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91"/>
      <c r="O549" s="9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91"/>
      <c r="O550" s="9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91"/>
      <c r="O551" s="9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91"/>
      <c r="O552" s="9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91"/>
      <c r="O553" s="9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91"/>
      <c r="O554" s="9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91"/>
      <c r="O555" s="9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91"/>
      <c r="O556" s="9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91"/>
      <c r="O557" s="9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91"/>
      <c r="O558" s="9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91"/>
      <c r="O559" s="9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91"/>
      <c r="O560" s="9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91"/>
      <c r="O561" s="9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91"/>
      <c r="O562" s="9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91"/>
      <c r="O563" s="9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91"/>
      <c r="O564" s="9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91"/>
      <c r="O565" s="9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91"/>
      <c r="O566" s="9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91"/>
      <c r="O567" s="9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91"/>
      <c r="O568" s="9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91"/>
      <c r="O569" s="9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91"/>
      <c r="O570" s="9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91"/>
      <c r="O571" s="9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91"/>
      <c r="O572" s="9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91"/>
      <c r="O573" s="9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91"/>
      <c r="O574" s="9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91"/>
      <c r="O575" s="9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91"/>
      <c r="O576" s="9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91"/>
      <c r="O577" s="9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91"/>
      <c r="O578" s="9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91"/>
      <c r="O579" s="9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91"/>
      <c r="O580" s="9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91"/>
      <c r="O581" s="9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91"/>
      <c r="O582" s="9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91"/>
      <c r="O583" s="9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91"/>
      <c r="O584" s="9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91"/>
      <c r="O585" s="9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91"/>
      <c r="O586" s="9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91"/>
      <c r="O587" s="9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91"/>
      <c r="O588" s="9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91"/>
      <c r="O589" s="9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91"/>
      <c r="O590" s="9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91"/>
      <c r="O591" s="9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91"/>
      <c r="O592" s="9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91"/>
      <c r="O593" s="9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91"/>
      <c r="O594" s="9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91"/>
      <c r="O595" s="9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91"/>
      <c r="O596" s="9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91"/>
      <c r="O597" s="9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91"/>
      <c r="O598" s="9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91"/>
      <c r="O599" s="9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91"/>
      <c r="O600" s="9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91"/>
      <c r="O601" s="9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91"/>
      <c r="O602" s="9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91"/>
      <c r="O603" s="9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91"/>
      <c r="O604" s="9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91"/>
      <c r="O605" s="9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91"/>
      <c r="O606" s="9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91"/>
      <c r="O607" s="9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91"/>
      <c r="O608" s="9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91"/>
      <c r="O609" s="9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91"/>
      <c r="O610" s="9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91"/>
      <c r="O611" s="9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91"/>
      <c r="O612" s="9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91"/>
      <c r="O613" s="9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91"/>
      <c r="O614" s="9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91"/>
      <c r="O615" s="9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91"/>
      <c r="O616" s="9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91"/>
      <c r="O617" s="9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91"/>
      <c r="O618" s="9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91"/>
      <c r="O619" s="9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91"/>
      <c r="O620" s="9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91"/>
      <c r="O621" s="9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91"/>
      <c r="O622" s="9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91"/>
      <c r="O623" s="9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91"/>
      <c r="O624" s="9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91"/>
      <c r="O625" s="9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91"/>
      <c r="O626" s="9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91"/>
      <c r="O627" s="9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91"/>
      <c r="O628" s="9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91"/>
      <c r="O629" s="9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91"/>
      <c r="O630" s="9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91"/>
      <c r="O631" s="9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91"/>
      <c r="O632" s="9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91"/>
      <c r="O633" s="9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91"/>
      <c r="O634" s="9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91"/>
      <c r="O635" s="9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91"/>
      <c r="O636" s="9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91"/>
      <c r="O637" s="9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91"/>
      <c r="O638" s="9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91"/>
      <c r="O639" s="9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91"/>
      <c r="O640" s="9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91"/>
      <c r="O641" s="9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91"/>
      <c r="O642" s="9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91"/>
      <c r="O643" s="9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91"/>
      <c r="O644" s="9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91"/>
      <c r="O645" s="9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91"/>
      <c r="O646" s="9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91"/>
      <c r="O647" s="9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91"/>
      <c r="O648" s="9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91"/>
      <c r="O649" s="9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91"/>
      <c r="O650" s="9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91"/>
      <c r="O651" s="9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91"/>
      <c r="O652" s="9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91"/>
      <c r="O653" s="9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91"/>
      <c r="O654" s="9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91"/>
      <c r="O655" s="9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91"/>
      <c r="O656" s="9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91"/>
      <c r="O657" s="9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91"/>
      <c r="O658" s="9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91"/>
      <c r="O659" s="9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91"/>
      <c r="O660" s="9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91"/>
      <c r="O661" s="9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91"/>
      <c r="O662" s="9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91"/>
      <c r="O663" s="9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91"/>
      <c r="O664" s="9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91"/>
      <c r="O665" s="9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91"/>
      <c r="O666" s="9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91"/>
      <c r="O667" s="9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91"/>
      <c r="O668" s="9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91"/>
      <c r="O669" s="9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91"/>
      <c r="O670" s="9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91"/>
      <c r="O671" s="9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91"/>
      <c r="O672" s="9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91"/>
      <c r="O673" s="9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91"/>
      <c r="O674" s="9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91"/>
      <c r="O675" s="9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91"/>
      <c r="O676" s="9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91"/>
      <c r="O677" s="9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91"/>
      <c r="O678" s="9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91"/>
      <c r="O679" s="9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91"/>
      <c r="O680" s="9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91"/>
      <c r="O681" s="9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91"/>
      <c r="O682" s="9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91"/>
      <c r="O683" s="9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91"/>
      <c r="O684" s="9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91"/>
      <c r="O685" s="9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91"/>
      <c r="O686" s="9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91"/>
      <c r="O687" s="9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91"/>
      <c r="O688" s="9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91"/>
      <c r="O689" s="9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91"/>
      <c r="O690" s="9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91"/>
      <c r="O691" s="9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91"/>
      <c r="O692" s="9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91"/>
      <c r="O693" s="9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91"/>
      <c r="O694" s="9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91"/>
      <c r="O695" s="9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91"/>
      <c r="O696" s="9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91"/>
      <c r="O697" s="9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91"/>
      <c r="O698" s="9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91"/>
      <c r="O699" s="9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91"/>
      <c r="O700" s="9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91"/>
      <c r="O701" s="9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91"/>
      <c r="O702" s="9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91"/>
      <c r="O703" s="9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91"/>
      <c r="O704" s="9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91"/>
      <c r="O705" s="9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91"/>
      <c r="O706" s="9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91"/>
      <c r="O707" s="9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91"/>
      <c r="O708" s="9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91"/>
      <c r="O709" s="9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91"/>
      <c r="O710" s="9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91"/>
      <c r="O711" s="9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91"/>
      <c r="O712" s="9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91"/>
      <c r="O713" s="9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91"/>
      <c r="O714" s="9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91"/>
      <c r="O715" s="9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91"/>
      <c r="O716" s="9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91"/>
      <c r="O717" s="9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91"/>
      <c r="O718" s="9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91"/>
      <c r="O719" s="9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91"/>
      <c r="O720" s="9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91"/>
      <c r="O721" s="9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91"/>
      <c r="O722" s="9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91"/>
      <c r="O723" s="9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91"/>
      <c r="O724" s="9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91"/>
      <c r="O725" s="9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91"/>
      <c r="O726" s="9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91"/>
      <c r="O727" s="9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91"/>
      <c r="O728" s="9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91"/>
      <c r="O729" s="9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91"/>
      <c r="O730" s="9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91"/>
      <c r="O731" s="9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91"/>
      <c r="O732" s="9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91"/>
      <c r="O733" s="9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91"/>
      <c r="O734" s="9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91"/>
      <c r="O735" s="9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91"/>
      <c r="O736" s="9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91"/>
      <c r="O737" s="9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91"/>
      <c r="O738" s="9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91"/>
      <c r="O739" s="9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91"/>
      <c r="O740" s="9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91"/>
      <c r="O741" s="9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91"/>
      <c r="O742" s="9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91"/>
      <c r="O743" s="9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91"/>
      <c r="O744" s="9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91"/>
      <c r="O745" s="9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91"/>
      <c r="O746" s="9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91"/>
      <c r="O747" s="9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91"/>
      <c r="O748" s="9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91"/>
      <c r="O749" s="9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91"/>
      <c r="O750" s="9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91"/>
      <c r="O751" s="9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91"/>
      <c r="O752" s="9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91"/>
      <c r="O753" s="9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91"/>
      <c r="O754" s="9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91"/>
      <c r="O755" s="9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91"/>
      <c r="O756" s="9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91"/>
      <c r="O757" s="9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1"/>
      <c r="O758" s="9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1"/>
      <c r="O759" s="9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1"/>
      <c r="O760" s="9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91"/>
      <c r="O761" s="9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91"/>
      <c r="O762" s="9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1"/>
      <c r="O763" s="9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1"/>
      <c r="O764" s="9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1"/>
      <c r="O765" s="9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91"/>
      <c r="O766" s="9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91"/>
      <c r="O767" s="9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91"/>
      <c r="O768" s="9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91"/>
      <c r="O769" s="9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91"/>
      <c r="O770" s="9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91"/>
      <c r="O771" s="9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91"/>
      <c r="O772" s="9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91"/>
      <c r="O773" s="9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1"/>
      <c r="O774" s="9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1"/>
      <c r="O775" s="9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1"/>
      <c r="O776" s="9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91"/>
      <c r="O777" s="9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91"/>
      <c r="O778" s="9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1"/>
      <c r="O779" s="9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1"/>
      <c r="O780" s="9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1"/>
      <c r="O781" s="9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91"/>
      <c r="O782" s="9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91"/>
      <c r="O783" s="9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91"/>
      <c r="O784" s="9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91"/>
      <c r="O785" s="9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91"/>
      <c r="O786" s="9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91"/>
      <c r="O787" s="9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91"/>
      <c r="O788" s="9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91"/>
      <c r="O789" s="9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91"/>
      <c r="O790" s="9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91"/>
      <c r="O791" s="9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91"/>
      <c r="O792" s="9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91"/>
      <c r="O793" s="9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91"/>
      <c r="O794" s="9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91"/>
      <c r="O795" s="9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91"/>
      <c r="O796" s="9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1"/>
      <c r="O797" s="9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91"/>
      <c r="O798" s="9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91"/>
      <c r="O799" s="9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91"/>
      <c r="O800" s="9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91"/>
      <c r="O801" s="9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1"/>
      <c r="O802" s="9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91"/>
      <c r="O803" s="9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91"/>
      <c r="O804" s="9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91"/>
      <c r="O805" s="9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91"/>
      <c r="O806" s="9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91"/>
      <c r="O807" s="9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91"/>
      <c r="O808" s="9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91"/>
      <c r="O809" s="9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91"/>
      <c r="O810" s="9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91"/>
      <c r="O811" s="9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91"/>
      <c r="O812" s="9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91"/>
      <c r="O813" s="9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91"/>
      <c r="O814" s="9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91"/>
      <c r="O815" s="9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91"/>
      <c r="O816" s="9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91"/>
      <c r="O817" s="9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91"/>
      <c r="O818" s="9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91"/>
      <c r="O819" s="9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91"/>
      <c r="O820" s="9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91"/>
      <c r="O821" s="9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91"/>
      <c r="O822" s="9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91"/>
      <c r="O823" s="9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91"/>
      <c r="O824" s="9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91"/>
      <c r="O825" s="9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91"/>
      <c r="O826" s="9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91"/>
      <c r="O827" s="9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91"/>
      <c r="O828" s="9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91"/>
      <c r="O829" s="9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91"/>
      <c r="O830" s="9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91"/>
      <c r="O831" s="9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91"/>
      <c r="O832" s="9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91"/>
      <c r="O833" s="9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91"/>
      <c r="O834" s="9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91"/>
      <c r="O835" s="9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91"/>
      <c r="O836" s="9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91"/>
      <c r="O837" s="9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91"/>
      <c r="O838" s="9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91"/>
      <c r="O839" s="9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91"/>
      <c r="O840" s="9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91"/>
      <c r="O841" s="9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91"/>
      <c r="O842" s="9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91"/>
      <c r="O843" s="9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91"/>
      <c r="O844" s="9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91"/>
      <c r="O845" s="9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91"/>
      <c r="O846" s="9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91"/>
      <c r="O847" s="9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91"/>
      <c r="O848" s="9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91"/>
      <c r="O849" s="9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91"/>
      <c r="O850" s="9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91"/>
      <c r="O851" s="9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91"/>
      <c r="O852" s="9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91"/>
      <c r="O853" s="9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91"/>
      <c r="O854" s="9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91"/>
      <c r="O855" s="9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91"/>
      <c r="O856" s="9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91"/>
      <c r="O857" s="9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91"/>
      <c r="O858" s="9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91"/>
      <c r="O859" s="9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91"/>
      <c r="O860" s="9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91"/>
      <c r="O861" s="9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91"/>
      <c r="O862" s="9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91"/>
      <c r="O863" s="9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91"/>
      <c r="O864" s="9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91"/>
      <c r="O865" s="9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91"/>
      <c r="O866" s="9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91"/>
      <c r="O867" s="9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91"/>
      <c r="O868" s="9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91"/>
      <c r="O869" s="9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91"/>
      <c r="O870" s="9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91"/>
      <c r="O871" s="9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91"/>
      <c r="O872" s="9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91"/>
      <c r="O873" s="9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91"/>
      <c r="O874" s="9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91"/>
      <c r="O875" s="9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91"/>
      <c r="O876" s="9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91"/>
      <c r="O877" s="9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91"/>
      <c r="O878" s="9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91"/>
      <c r="O879" s="9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91"/>
      <c r="O880" s="9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91"/>
      <c r="O881" s="9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91"/>
      <c r="O882" s="9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91"/>
      <c r="O883" s="9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91"/>
      <c r="O884" s="9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91"/>
      <c r="O885" s="9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91"/>
      <c r="O886" s="9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91"/>
      <c r="O887" s="9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91"/>
      <c r="O888" s="9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91"/>
      <c r="O889" s="9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91"/>
      <c r="O890" s="9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91"/>
      <c r="O891" s="9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91"/>
      <c r="O892" s="9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91"/>
      <c r="O893" s="9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91"/>
      <c r="O894" s="9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91"/>
      <c r="O895" s="9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91"/>
      <c r="O896" s="9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91"/>
      <c r="O897" s="9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91"/>
      <c r="O898" s="9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91"/>
      <c r="O899" s="9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91"/>
      <c r="O900" s="9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91"/>
      <c r="O901" s="9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91"/>
      <c r="O902" s="9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91"/>
      <c r="O903" s="9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91"/>
      <c r="O904" s="9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91"/>
      <c r="O905" s="9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91"/>
      <c r="O906" s="9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91"/>
      <c r="O907" s="9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91"/>
      <c r="O908" s="9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91"/>
      <c r="O909" s="9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91"/>
      <c r="O910" s="9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91"/>
      <c r="O911" s="9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91"/>
      <c r="O912" s="9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91"/>
      <c r="O913" s="9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91"/>
      <c r="O914" s="9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91"/>
      <c r="O915" s="9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91"/>
      <c r="O916" s="9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91"/>
      <c r="O917" s="9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91"/>
      <c r="O918" s="9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91"/>
      <c r="O919" s="9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91"/>
      <c r="O920" s="9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91"/>
      <c r="O921" s="9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91"/>
      <c r="O922" s="9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91"/>
      <c r="O923" s="9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91"/>
      <c r="O924" s="9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91"/>
      <c r="O925" s="9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91"/>
      <c r="O926" s="9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91"/>
      <c r="O927" s="9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91"/>
      <c r="O928" s="9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91"/>
      <c r="O929" s="9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91"/>
      <c r="O930" s="9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91"/>
      <c r="O931" s="9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91"/>
      <c r="O932" s="9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91"/>
      <c r="O933" s="9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91"/>
      <c r="O934" s="9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91"/>
      <c r="O935" s="9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91"/>
      <c r="O936" s="9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91"/>
      <c r="O937" s="9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91"/>
      <c r="O938" s="9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91"/>
      <c r="O939" s="9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91"/>
      <c r="O940" s="9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91"/>
      <c r="O941" s="9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91"/>
      <c r="O942" s="9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91"/>
      <c r="O943" s="9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91"/>
      <c r="O944" s="9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91"/>
      <c r="O945" s="9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91"/>
      <c r="O946" s="9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91"/>
      <c r="O947" s="9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91"/>
      <c r="O948" s="9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91"/>
      <c r="O949" s="9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91"/>
      <c r="O950" s="9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91"/>
      <c r="O951" s="9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91"/>
      <c r="O952" s="9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91"/>
      <c r="O953" s="9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91"/>
      <c r="O954" s="9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91"/>
      <c r="O955" s="9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91"/>
      <c r="O956" s="9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91"/>
      <c r="O957" s="9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91"/>
      <c r="O958" s="9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91"/>
      <c r="O959" s="9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91"/>
      <c r="O960" s="9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91"/>
      <c r="O961" s="9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91"/>
      <c r="O962" s="9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91"/>
      <c r="O963" s="9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91"/>
      <c r="O964" s="9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91"/>
      <c r="O965" s="9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91"/>
      <c r="O966" s="9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91"/>
      <c r="O967" s="9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91"/>
      <c r="O968" s="9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91"/>
      <c r="O969" s="9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91"/>
      <c r="O970" s="9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91"/>
      <c r="O971" s="9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91"/>
      <c r="O972" s="9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91"/>
      <c r="O973" s="9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91"/>
      <c r="O974" s="9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91"/>
      <c r="O975" s="9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91"/>
      <c r="O976" s="9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91"/>
      <c r="O977" s="9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91"/>
      <c r="O978" s="9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91"/>
      <c r="O979" s="9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91"/>
      <c r="O980" s="9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91"/>
      <c r="O981" s="9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91"/>
      <c r="O982" s="9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91"/>
      <c r="O983" s="9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91"/>
      <c r="O984" s="9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91"/>
      <c r="O985" s="9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91"/>
      <c r="O986" s="9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91"/>
      <c r="O987" s="9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91"/>
      <c r="O988" s="9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91"/>
      <c r="O989" s="9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91"/>
      <c r="O990" s="9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91"/>
      <c r="O991" s="9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91"/>
      <c r="O992" s="9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91"/>
      <c r="O993" s="9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91"/>
      <c r="O994" s="9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91"/>
      <c r="O995" s="9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91"/>
      <c r="O996" s="9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91"/>
      <c r="O997" s="9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91"/>
      <c r="O998" s="9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91"/>
      <c r="O999" s="9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91"/>
      <c r="O1000" s="9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8:B10"/>
    <mergeCell ref="C8:D9"/>
    <mergeCell ref="E8:F8"/>
    <mergeCell ref="H8:I8"/>
    <mergeCell ref="J8:J10"/>
    <mergeCell ref="K8:K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17.44"/>
    <col customWidth="1" min="3" max="3" width="15.0"/>
    <col customWidth="1" min="4" max="5" width="7.44"/>
    <col customWidth="1" min="6" max="8" width="8.67"/>
    <col customWidth="1" min="9" max="9" width="9.44"/>
    <col customWidth="1" min="10" max="10" width="18.78"/>
    <col customWidth="1" min="11" max="14" width="9.44"/>
    <col customWidth="1" min="15" max="15" width="9.22"/>
    <col customWidth="1" min="16" max="23" width="9.0"/>
    <col customWidth="1" min="24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2"/>
      <c r="B2" s="3"/>
      <c r="C2" s="3"/>
      <c r="D2" s="1"/>
      <c r="E2" s="113"/>
      <c r="F2" s="113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3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2"/>
      <c r="B4" s="3"/>
      <c r="C4" s="3"/>
      <c r="D4" s="1"/>
      <c r="E4" s="18"/>
      <c r="F4" s="113"/>
      <c r="G4" s="6"/>
      <c r="H4" s="6"/>
      <c r="I4" s="6"/>
      <c r="J4" s="6"/>
      <c r="K4" s="6"/>
      <c r="L4" s="6"/>
      <c r="M4" s="6"/>
      <c r="N4" s="8" t="s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10"/>
      <c r="D5" s="9"/>
      <c r="E5" s="9"/>
      <c r="F5" s="9"/>
      <c r="G5" s="9"/>
      <c r="H5" s="9"/>
      <c r="I5" s="9"/>
      <c r="J5" s="9"/>
      <c r="K5" s="11"/>
      <c r="L5" s="11"/>
      <c r="M5" s="11"/>
      <c r="N5" s="8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33"/>
      <c r="B6" s="114" t="s">
        <v>174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92"/>
      <c r="C7" s="92"/>
      <c r="D7" s="92"/>
      <c r="E7" s="92"/>
      <c r="F7" s="92"/>
      <c r="G7" s="92"/>
      <c r="H7" s="92"/>
      <c r="I7" s="92"/>
      <c r="J7" s="92"/>
      <c r="K7" s="9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117" t="s">
        <v>3</v>
      </c>
      <c r="C8" s="26"/>
      <c r="D8" s="23" t="s">
        <v>4</v>
      </c>
      <c r="E8" s="24"/>
      <c r="F8" s="25" t="s">
        <v>5</v>
      </c>
      <c r="G8" s="118"/>
      <c r="H8" s="26"/>
      <c r="I8" s="27" t="s">
        <v>6</v>
      </c>
      <c r="J8" s="119" t="s">
        <v>7</v>
      </c>
      <c r="K8" s="29" t="s">
        <v>8</v>
      </c>
      <c r="L8" s="30" t="s">
        <v>9</v>
      </c>
      <c r="M8" s="31" t="s">
        <v>10</v>
      </c>
      <c r="N8" s="32" t="s">
        <v>11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175</v>
      </c>
      <c r="B9" s="120" t="s">
        <v>176</v>
      </c>
      <c r="C9" s="121" t="s">
        <v>177</v>
      </c>
      <c r="D9" s="35"/>
      <c r="E9" s="36"/>
      <c r="F9" s="96" t="s">
        <v>13</v>
      </c>
      <c r="G9" s="122" t="s">
        <v>14</v>
      </c>
      <c r="H9" s="123"/>
      <c r="I9" s="48"/>
      <c r="J9" s="124"/>
      <c r="K9" s="42"/>
      <c r="L9" s="43"/>
      <c r="M9" s="44" t="s">
        <v>178</v>
      </c>
      <c r="N9" s="44" t="s">
        <v>178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125" t="s">
        <v>179</v>
      </c>
      <c r="C10" s="126" t="s">
        <v>179</v>
      </c>
      <c r="D10" s="46" t="s">
        <v>15</v>
      </c>
      <c r="E10" s="47" t="s">
        <v>16</v>
      </c>
      <c r="F10" s="47" t="s">
        <v>17</v>
      </c>
      <c r="G10" s="127" t="s">
        <v>18</v>
      </c>
      <c r="H10" s="47" t="s">
        <v>180</v>
      </c>
      <c r="I10" s="48" t="s">
        <v>19</v>
      </c>
      <c r="J10" s="50" t="s">
        <v>21</v>
      </c>
      <c r="K10" s="51"/>
      <c r="L10" s="128" t="s">
        <v>22</v>
      </c>
      <c r="M10" s="53" t="s">
        <v>23</v>
      </c>
      <c r="N10" s="54" t="s">
        <v>24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29" t="s">
        <v>181</v>
      </c>
      <c r="C11" s="130" t="s">
        <v>182</v>
      </c>
      <c r="D11" s="103">
        <v>0.75</v>
      </c>
      <c r="E11" s="104">
        <v>1.0</v>
      </c>
      <c r="F11" s="104">
        <v>8.0</v>
      </c>
      <c r="G11" s="131">
        <v>14.0</v>
      </c>
      <c r="H11" s="104"/>
      <c r="I11" s="132" t="s">
        <v>183</v>
      </c>
      <c r="J11" s="133">
        <v>384.664995</v>
      </c>
      <c r="K11" s="103" t="s">
        <v>35</v>
      </c>
      <c r="L11" s="109">
        <v>2900.0</v>
      </c>
      <c r="M11" s="108">
        <v>50.0</v>
      </c>
      <c r="N11" s="134">
        <v>0.058105079999999996</v>
      </c>
      <c r="O11" s="77"/>
      <c r="P11" s="135"/>
      <c r="Q11" s="135"/>
      <c r="R11" s="135"/>
      <c r="S11" s="135"/>
      <c r="T11" s="135"/>
      <c r="U11" s="135"/>
      <c r="V11" s="135"/>
      <c r="W11" s="135"/>
      <c r="X11" s="77"/>
      <c r="Y11" s="77"/>
      <c r="Z11" s="77"/>
    </row>
    <row r="12" ht="18.0" customHeight="1">
      <c r="A12" s="77"/>
      <c r="B12" s="129" t="s">
        <v>184</v>
      </c>
      <c r="C12" s="130" t="s">
        <v>185</v>
      </c>
      <c r="D12" s="103">
        <v>1.1</v>
      </c>
      <c r="E12" s="104">
        <v>1.5</v>
      </c>
      <c r="F12" s="104">
        <v>8.0</v>
      </c>
      <c r="G12" s="131">
        <v>18.0</v>
      </c>
      <c r="H12" s="104"/>
      <c r="I12" s="132" t="s">
        <v>186</v>
      </c>
      <c r="J12" s="133">
        <v>404.43039</v>
      </c>
      <c r="K12" s="103" t="s">
        <v>35</v>
      </c>
      <c r="L12" s="109">
        <v>2900.0</v>
      </c>
      <c r="M12" s="108">
        <v>50.0</v>
      </c>
      <c r="N12" s="134">
        <f>0.536*0.365*0.297</f>
        <v>0.05810508</v>
      </c>
      <c r="O12" s="77"/>
      <c r="P12" s="135"/>
      <c r="Q12" s="135"/>
      <c r="R12" s="135"/>
      <c r="S12" s="135"/>
      <c r="T12" s="135"/>
      <c r="U12" s="135"/>
      <c r="V12" s="135"/>
      <c r="W12" s="135"/>
      <c r="X12" s="77"/>
      <c r="Y12" s="77"/>
      <c r="Z12" s="77"/>
    </row>
    <row r="13" ht="18.0" customHeight="1">
      <c r="A13" s="77"/>
      <c r="B13" s="129" t="s">
        <v>187</v>
      </c>
      <c r="C13" s="130" t="s">
        <v>188</v>
      </c>
      <c r="D13" s="103">
        <v>1.5</v>
      </c>
      <c r="E13" s="104">
        <v>2.0</v>
      </c>
      <c r="F13" s="104">
        <v>12.5</v>
      </c>
      <c r="G13" s="131">
        <v>21.0</v>
      </c>
      <c r="H13" s="104"/>
      <c r="I13" s="132" t="s">
        <v>186</v>
      </c>
      <c r="J13" s="133">
        <v>452.3429549999999</v>
      </c>
      <c r="K13" s="103" t="s">
        <v>35</v>
      </c>
      <c r="L13" s="109">
        <v>2900.0</v>
      </c>
      <c r="M13" s="108">
        <v>56.0</v>
      </c>
      <c r="N13" s="134">
        <f t="shared" ref="N13:N14" si="1">0.581*0.365*0.297</f>
        <v>0.062983305</v>
      </c>
      <c r="O13" s="77"/>
      <c r="P13" s="135"/>
      <c r="Q13" s="135"/>
      <c r="R13" s="135"/>
      <c r="S13" s="135"/>
      <c r="T13" s="135"/>
      <c r="U13" s="135"/>
      <c r="V13" s="135"/>
      <c r="W13" s="135"/>
      <c r="X13" s="77"/>
      <c r="Y13" s="77"/>
      <c r="Z13" s="77"/>
    </row>
    <row r="14" ht="18.0" customHeight="1">
      <c r="A14" s="77"/>
      <c r="B14" s="136" t="s">
        <v>189</v>
      </c>
      <c r="C14" s="130" t="s">
        <v>190</v>
      </c>
      <c r="D14" s="103">
        <v>2.2</v>
      </c>
      <c r="E14" s="104">
        <v>3.0</v>
      </c>
      <c r="F14" s="104">
        <v>12.5</v>
      </c>
      <c r="G14" s="131">
        <v>25.0</v>
      </c>
      <c r="H14" s="104">
        <v>26.0</v>
      </c>
      <c r="I14" s="132" t="s">
        <v>186</v>
      </c>
      <c r="J14" s="133">
        <v>478.50188999999995</v>
      </c>
      <c r="K14" s="103" t="s">
        <v>35</v>
      </c>
      <c r="L14" s="109">
        <v>2900.0</v>
      </c>
      <c r="M14" s="108">
        <v>59.0</v>
      </c>
      <c r="N14" s="134">
        <f t="shared" si="1"/>
        <v>0.062983305</v>
      </c>
      <c r="O14" s="77"/>
      <c r="P14" s="135"/>
      <c r="Q14" s="135"/>
      <c r="R14" s="135"/>
      <c r="S14" s="135"/>
      <c r="T14" s="135"/>
      <c r="U14" s="135"/>
      <c r="V14" s="135"/>
      <c r="W14" s="135"/>
      <c r="X14" s="77"/>
      <c r="Y14" s="77"/>
      <c r="Z14" s="77"/>
    </row>
    <row r="15" ht="18.0" customHeight="1">
      <c r="A15" s="77"/>
      <c r="B15" s="136" t="s">
        <v>191</v>
      </c>
      <c r="C15" s="130" t="s">
        <v>192</v>
      </c>
      <c r="D15" s="103">
        <v>3.0</v>
      </c>
      <c r="E15" s="104">
        <v>4.0</v>
      </c>
      <c r="F15" s="104">
        <v>12.5</v>
      </c>
      <c r="G15" s="131">
        <v>32.0</v>
      </c>
      <c r="H15" s="104">
        <v>33.0</v>
      </c>
      <c r="I15" s="132" t="s">
        <v>186</v>
      </c>
      <c r="J15" s="133">
        <v>565.3214849999998</v>
      </c>
      <c r="K15" s="103" t="s">
        <v>35</v>
      </c>
      <c r="L15" s="109">
        <v>2900.0</v>
      </c>
      <c r="M15" s="108">
        <v>68.0</v>
      </c>
      <c r="N15" s="134">
        <f>0.655*0.365*0.297</f>
        <v>0.071005275</v>
      </c>
      <c r="O15" s="77"/>
      <c r="P15" s="135"/>
      <c r="Q15" s="135"/>
      <c r="R15" s="135"/>
      <c r="S15" s="135"/>
      <c r="T15" s="135"/>
      <c r="U15" s="135"/>
      <c r="V15" s="135"/>
      <c r="W15" s="135"/>
      <c r="X15" s="77"/>
      <c r="Y15" s="77"/>
      <c r="Z15" s="77"/>
    </row>
    <row r="16" ht="18.0" customHeight="1">
      <c r="A16" s="77"/>
      <c r="B16" s="136" t="s">
        <v>193</v>
      </c>
      <c r="C16" s="130" t="s">
        <v>194</v>
      </c>
      <c r="D16" s="103">
        <v>4.0</v>
      </c>
      <c r="E16" s="104">
        <v>5.5</v>
      </c>
      <c r="F16" s="104">
        <v>12.5</v>
      </c>
      <c r="G16" s="131">
        <v>38.0</v>
      </c>
      <c r="H16" s="104">
        <v>40.0</v>
      </c>
      <c r="I16" s="132" t="s">
        <v>186</v>
      </c>
      <c r="J16" s="133">
        <v>682.7832899999999</v>
      </c>
      <c r="K16" s="103" t="s">
        <v>35</v>
      </c>
      <c r="L16" s="109">
        <v>2900.0</v>
      </c>
      <c r="M16" s="108">
        <v>79.0</v>
      </c>
      <c r="N16" s="134">
        <f>0.665*0.465*0.343</f>
        <v>0.106064175</v>
      </c>
      <c r="O16" s="77"/>
      <c r="P16" s="135"/>
      <c r="Q16" s="135"/>
      <c r="R16" s="135"/>
      <c r="S16" s="135"/>
      <c r="T16" s="135"/>
      <c r="U16" s="135"/>
      <c r="V16" s="135"/>
      <c r="W16" s="135"/>
      <c r="X16" s="77"/>
      <c r="Y16" s="77"/>
      <c r="Z16" s="77"/>
    </row>
    <row r="17" ht="18.0" customHeight="1">
      <c r="A17" s="77"/>
      <c r="B17" s="129" t="s">
        <v>195</v>
      </c>
      <c r="C17" s="130" t="s">
        <v>196</v>
      </c>
      <c r="D17" s="103">
        <v>5.5</v>
      </c>
      <c r="E17" s="104">
        <v>7.5</v>
      </c>
      <c r="F17" s="104">
        <v>12.5</v>
      </c>
      <c r="G17" s="131">
        <v>50.0</v>
      </c>
      <c r="H17" s="104"/>
      <c r="I17" s="132" t="s">
        <v>186</v>
      </c>
      <c r="J17" s="133">
        <v>874.3165949999998</v>
      </c>
      <c r="K17" s="103" t="s">
        <v>35</v>
      </c>
      <c r="L17" s="109">
        <v>2900.0</v>
      </c>
      <c r="M17" s="108">
        <v>104.0</v>
      </c>
      <c r="N17" s="134">
        <f>0.728*0.465*0.343</f>
        <v>0.11611236</v>
      </c>
      <c r="O17" s="77"/>
      <c r="P17" s="135"/>
      <c r="Q17" s="135"/>
      <c r="R17" s="135"/>
      <c r="S17" s="135"/>
      <c r="T17" s="135"/>
      <c r="U17" s="135"/>
      <c r="V17" s="135"/>
      <c r="W17" s="135"/>
      <c r="X17" s="77"/>
      <c r="Y17" s="77"/>
      <c r="Z17" s="77"/>
    </row>
    <row r="18" ht="18.0" customHeight="1">
      <c r="A18" s="33"/>
      <c r="B18" s="129" t="s">
        <v>197</v>
      </c>
      <c r="C18" s="130" t="s">
        <v>198</v>
      </c>
      <c r="D18" s="103">
        <v>0.75</v>
      </c>
      <c r="E18" s="104">
        <v>1.5</v>
      </c>
      <c r="F18" s="104">
        <v>8.0</v>
      </c>
      <c r="G18" s="131">
        <v>14.0</v>
      </c>
      <c r="H18" s="104"/>
      <c r="I18" s="132" t="s">
        <v>199</v>
      </c>
      <c r="J18" s="133">
        <v>364.98999999999995</v>
      </c>
      <c r="K18" s="103" t="s">
        <v>35</v>
      </c>
      <c r="L18" s="109">
        <v>2900.0</v>
      </c>
      <c r="M18" s="108">
        <v>40.0</v>
      </c>
      <c r="N18" s="134">
        <v>0.04175328</v>
      </c>
      <c r="O18" s="77"/>
      <c r="P18" s="135"/>
      <c r="Q18" s="135"/>
      <c r="R18" s="135"/>
      <c r="S18" s="135"/>
      <c r="T18" s="135"/>
      <c r="U18" s="135"/>
      <c r="V18" s="135"/>
      <c r="W18" s="135"/>
      <c r="X18" s="77"/>
      <c r="Y18" s="77"/>
      <c r="Z18" s="77"/>
    </row>
    <row r="19" ht="18.0" customHeight="1">
      <c r="A19" s="77"/>
      <c r="B19" s="129" t="s">
        <v>200</v>
      </c>
      <c r="C19" s="130" t="s">
        <v>201</v>
      </c>
      <c r="D19" s="103">
        <v>1.1</v>
      </c>
      <c r="E19" s="104">
        <v>1.5</v>
      </c>
      <c r="F19" s="104">
        <v>12.5</v>
      </c>
      <c r="G19" s="131">
        <v>16.0</v>
      </c>
      <c r="H19" s="104"/>
      <c r="I19" s="132" t="s">
        <v>199</v>
      </c>
      <c r="J19" s="133">
        <v>365.48437499999994</v>
      </c>
      <c r="K19" s="103" t="s">
        <v>35</v>
      </c>
      <c r="L19" s="109">
        <v>2900.0</v>
      </c>
      <c r="M19" s="108">
        <v>40.0</v>
      </c>
      <c r="N19" s="134">
        <f>0.488*0.345*0.248</f>
        <v>0.04175328</v>
      </c>
      <c r="O19" s="77"/>
      <c r="P19" s="135"/>
      <c r="Q19" s="135"/>
      <c r="R19" s="135"/>
      <c r="S19" s="135"/>
      <c r="T19" s="135"/>
      <c r="U19" s="135"/>
      <c r="V19" s="135"/>
      <c r="W19" s="135"/>
      <c r="X19" s="77"/>
      <c r="Y19" s="77"/>
      <c r="Z19" s="77"/>
    </row>
    <row r="20" ht="18.0" customHeight="1">
      <c r="A20" s="77"/>
      <c r="B20" s="137" t="s">
        <v>202</v>
      </c>
      <c r="C20" s="130" t="s">
        <v>203</v>
      </c>
      <c r="D20" s="103">
        <v>1.5</v>
      </c>
      <c r="E20" s="104">
        <v>2.0</v>
      </c>
      <c r="F20" s="138">
        <v>12.5</v>
      </c>
      <c r="G20" s="131">
        <v>20.0</v>
      </c>
      <c r="H20" s="104">
        <v>21.0</v>
      </c>
      <c r="I20" s="132" t="s">
        <v>199</v>
      </c>
      <c r="J20" s="133">
        <v>413.0850599999999</v>
      </c>
      <c r="K20" s="103" t="s">
        <v>35</v>
      </c>
      <c r="L20" s="109">
        <v>2900.0</v>
      </c>
      <c r="M20" s="108">
        <v>46.0</v>
      </c>
      <c r="N20" s="134">
        <f>0.543*0.345*0.248</f>
        <v>0.04645908</v>
      </c>
      <c r="O20" s="77"/>
      <c r="P20" s="135"/>
      <c r="Q20" s="135"/>
      <c r="R20" s="135"/>
      <c r="S20" s="135"/>
      <c r="T20" s="135"/>
      <c r="U20" s="135"/>
      <c r="V20" s="135"/>
      <c r="W20" s="135"/>
      <c r="X20" s="77"/>
      <c r="Y20" s="77"/>
      <c r="Z20" s="77"/>
    </row>
    <row r="21" ht="18.0" customHeight="1">
      <c r="A21" s="77"/>
      <c r="B21" s="136" t="s">
        <v>204</v>
      </c>
      <c r="C21" s="130" t="s">
        <v>205</v>
      </c>
      <c r="D21" s="103">
        <v>2.2</v>
      </c>
      <c r="E21" s="104">
        <v>3.0</v>
      </c>
      <c r="F21" s="138">
        <v>20.0</v>
      </c>
      <c r="G21" s="131">
        <v>18.0</v>
      </c>
      <c r="H21" s="104">
        <v>20.0</v>
      </c>
      <c r="I21" s="132" t="s">
        <v>199</v>
      </c>
      <c r="J21" s="133">
        <v>460.95863999999995</v>
      </c>
      <c r="K21" s="103" t="s">
        <v>35</v>
      </c>
      <c r="L21" s="109">
        <v>2900.0</v>
      </c>
      <c r="M21" s="108">
        <v>53.0</v>
      </c>
      <c r="N21" s="134">
        <f>0.582*0.365*0.26</f>
        <v>0.0552318</v>
      </c>
      <c r="O21" s="77"/>
      <c r="P21" s="135"/>
      <c r="Q21" s="135"/>
      <c r="R21" s="135"/>
      <c r="S21" s="135"/>
      <c r="T21" s="135"/>
      <c r="U21" s="135"/>
      <c r="V21" s="135"/>
      <c r="W21" s="135"/>
      <c r="X21" s="77"/>
      <c r="Y21" s="77"/>
      <c r="Z21" s="77"/>
    </row>
    <row r="22" ht="18.0" customHeight="1">
      <c r="A22" s="77"/>
      <c r="B22" s="136" t="s">
        <v>206</v>
      </c>
      <c r="C22" s="130" t="s">
        <v>207</v>
      </c>
      <c r="D22" s="103">
        <v>3.0</v>
      </c>
      <c r="E22" s="104">
        <v>4.0</v>
      </c>
      <c r="F22" s="104">
        <v>20.0</v>
      </c>
      <c r="G22" s="131">
        <v>25.0</v>
      </c>
      <c r="H22" s="104">
        <v>26.0</v>
      </c>
      <c r="I22" s="132" t="s">
        <v>199</v>
      </c>
      <c r="J22" s="133">
        <v>565.3214849999998</v>
      </c>
      <c r="K22" s="103" t="s">
        <v>35</v>
      </c>
      <c r="L22" s="109">
        <v>2900.0</v>
      </c>
      <c r="M22" s="108">
        <v>70.0</v>
      </c>
      <c r="N22" s="134">
        <f>0.655*0.365*0.297</f>
        <v>0.071005275</v>
      </c>
      <c r="O22" s="77"/>
      <c r="P22" s="135"/>
      <c r="Q22" s="135"/>
      <c r="R22" s="135"/>
      <c r="S22" s="135"/>
      <c r="T22" s="135"/>
      <c r="U22" s="135"/>
      <c r="V22" s="135"/>
      <c r="W22" s="135"/>
      <c r="X22" s="77"/>
      <c r="Y22" s="77"/>
      <c r="Z22" s="77"/>
    </row>
    <row r="23" ht="18.0" customHeight="1">
      <c r="A23" s="77"/>
      <c r="B23" s="129" t="s">
        <v>208</v>
      </c>
      <c r="C23" s="130" t="s">
        <v>209</v>
      </c>
      <c r="D23" s="103">
        <v>4.0</v>
      </c>
      <c r="E23" s="104">
        <v>5.5</v>
      </c>
      <c r="F23" s="104">
        <v>25.0</v>
      </c>
      <c r="G23" s="131">
        <v>30.0</v>
      </c>
      <c r="H23" s="104"/>
      <c r="I23" s="132" t="s">
        <v>199</v>
      </c>
      <c r="J23" s="133">
        <v>656.6243549999999</v>
      </c>
      <c r="K23" s="103" t="s">
        <v>35</v>
      </c>
      <c r="L23" s="109">
        <v>2900.0</v>
      </c>
      <c r="M23" s="108">
        <v>77.0</v>
      </c>
      <c r="N23" s="134">
        <f>0.565*0.365*0.297</f>
        <v>0.061248825</v>
      </c>
      <c r="O23" s="77"/>
      <c r="P23" s="135"/>
      <c r="Q23" s="135"/>
      <c r="R23" s="135"/>
      <c r="S23" s="135"/>
      <c r="T23" s="135"/>
      <c r="U23" s="135"/>
      <c r="V23" s="135"/>
      <c r="W23" s="135"/>
      <c r="X23" s="77"/>
      <c r="Y23" s="77"/>
      <c r="Z23" s="77"/>
    </row>
    <row r="24" ht="18.0" customHeight="1">
      <c r="A24" s="77"/>
      <c r="B24" s="129" t="s">
        <v>210</v>
      </c>
      <c r="C24" s="130" t="s">
        <v>211</v>
      </c>
      <c r="D24" s="103">
        <v>5.5</v>
      </c>
      <c r="E24" s="104">
        <v>7.5</v>
      </c>
      <c r="F24" s="104">
        <v>25.0</v>
      </c>
      <c r="G24" s="131">
        <v>36.0</v>
      </c>
      <c r="H24" s="104"/>
      <c r="I24" s="132" t="s">
        <v>199</v>
      </c>
      <c r="J24" s="133">
        <v>882.9322799999999</v>
      </c>
      <c r="K24" s="103" t="s">
        <v>35</v>
      </c>
      <c r="L24" s="109">
        <v>2900.0</v>
      </c>
      <c r="M24" s="108">
        <v>106.0</v>
      </c>
      <c r="N24" s="134">
        <f t="shared" ref="N24:N25" si="2">0.738*0.465*0.318</f>
        <v>0.10912806</v>
      </c>
      <c r="O24" s="77"/>
      <c r="P24" s="135"/>
      <c r="Q24" s="135"/>
      <c r="R24" s="135"/>
      <c r="S24" s="135"/>
      <c r="T24" s="135"/>
      <c r="U24" s="135"/>
      <c r="V24" s="135"/>
      <c r="W24" s="135"/>
      <c r="X24" s="77"/>
      <c r="Y24" s="77"/>
      <c r="Z24" s="77"/>
    </row>
    <row r="25" ht="18.0" customHeight="1">
      <c r="A25" s="77"/>
      <c r="B25" s="129" t="s">
        <v>212</v>
      </c>
      <c r="C25" s="130" t="s">
        <v>213</v>
      </c>
      <c r="D25" s="103">
        <v>7.5</v>
      </c>
      <c r="E25" s="104">
        <v>10.0</v>
      </c>
      <c r="F25" s="104">
        <v>25.0</v>
      </c>
      <c r="G25" s="131">
        <v>48.0</v>
      </c>
      <c r="H25" s="104"/>
      <c r="I25" s="132" t="s">
        <v>199</v>
      </c>
      <c r="J25" s="133">
        <v>909.0912149999999</v>
      </c>
      <c r="K25" s="103" t="s">
        <v>35</v>
      </c>
      <c r="L25" s="109">
        <v>2900.0</v>
      </c>
      <c r="M25" s="108">
        <v>110.0</v>
      </c>
      <c r="N25" s="134">
        <f t="shared" si="2"/>
        <v>0.10912806</v>
      </c>
      <c r="O25" s="77"/>
      <c r="P25" s="135"/>
      <c r="Q25" s="135"/>
      <c r="R25" s="135"/>
      <c r="S25" s="135"/>
      <c r="T25" s="135"/>
      <c r="U25" s="135"/>
      <c r="V25" s="135"/>
      <c r="W25" s="135"/>
      <c r="X25" s="77"/>
      <c r="Y25" s="77"/>
      <c r="Z25" s="77"/>
    </row>
    <row r="26" ht="18.0" customHeight="1">
      <c r="A26" s="77"/>
      <c r="B26" s="129" t="s">
        <v>214</v>
      </c>
      <c r="C26" s="130" t="s">
        <v>215</v>
      </c>
      <c r="D26" s="103">
        <v>1.1</v>
      </c>
      <c r="E26" s="104">
        <v>1.5</v>
      </c>
      <c r="F26" s="104">
        <v>16.0</v>
      </c>
      <c r="G26" s="131">
        <v>12.0</v>
      </c>
      <c r="H26" s="104"/>
      <c r="I26" s="132" t="s">
        <v>143</v>
      </c>
      <c r="J26" s="133">
        <v>430.6283099999999</v>
      </c>
      <c r="K26" s="103" t="s">
        <v>35</v>
      </c>
      <c r="L26" s="109">
        <v>2900.0</v>
      </c>
      <c r="M26" s="108">
        <v>56.0</v>
      </c>
      <c r="N26" s="134">
        <f>0.538*0.365*0.287</f>
        <v>0.05635819</v>
      </c>
      <c r="O26" s="77"/>
      <c r="P26" s="135"/>
      <c r="Q26" s="135"/>
      <c r="R26" s="135"/>
      <c r="S26" s="135"/>
      <c r="T26" s="135"/>
      <c r="U26" s="135"/>
      <c r="V26" s="135"/>
      <c r="W26" s="135"/>
      <c r="X26" s="77"/>
      <c r="Y26" s="77"/>
      <c r="Z26" s="77"/>
    </row>
    <row r="27" ht="18.0" customHeight="1">
      <c r="A27" s="77"/>
      <c r="B27" s="129" t="s">
        <v>216</v>
      </c>
      <c r="C27" s="130" t="s">
        <v>217</v>
      </c>
      <c r="D27" s="103">
        <v>1.5</v>
      </c>
      <c r="E27" s="104">
        <v>2.0</v>
      </c>
      <c r="F27" s="104">
        <v>20.0</v>
      </c>
      <c r="G27" s="131">
        <v>15.0</v>
      </c>
      <c r="H27" s="104"/>
      <c r="I27" s="132" t="s">
        <v>143</v>
      </c>
      <c r="J27" s="133">
        <v>474.01861499999995</v>
      </c>
      <c r="K27" s="103" t="s">
        <v>35</v>
      </c>
      <c r="L27" s="109">
        <v>2900.0</v>
      </c>
      <c r="M27" s="108">
        <v>62.0</v>
      </c>
      <c r="N27" s="134">
        <f t="shared" ref="N27:N28" si="3">0.583*0.365*0.287</f>
        <v>0.061072165</v>
      </c>
      <c r="O27" s="77"/>
      <c r="P27" s="135"/>
      <c r="Q27" s="135"/>
      <c r="R27" s="135"/>
      <c r="S27" s="135"/>
      <c r="T27" s="135"/>
      <c r="U27" s="135"/>
      <c r="V27" s="135"/>
      <c r="W27" s="135"/>
      <c r="X27" s="77"/>
      <c r="Y27" s="77"/>
      <c r="Z27" s="77"/>
    </row>
    <row r="28" ht="18.0" customHeight="1">
      <c r="A28" s="77"/>
      <c r="B28" s="129" t="s">
        <v>218</v>
      </c>
      <c r="C28" s="130" t="s">
        <v>219</v>
      </c>
      <c r="D28" s="103">
        <v>2.2</v>
      </c>
      <c r="E28" s="104">
        <v>3.0</v>
      </c>
      <c r="F28" s="104">
        <v>25.0</v>
      </c>
      <c r="G28" s="131">
        <v>18.0</v>
      </c>
      <c r="H28" s="104"/>
      <c r="I28" s="132" t="s">
        <v>143</v>
      </c>
      <c r="J28" s="133">
        <v>504.66082499999993</v>
      </c>
      <c r="K28" s="103" t="s">
        <v>35</v>
      </c>
      <c r="L28" s="109">
        <v>2900.0</v>
      </c>
      <c r="M28" s="108">
        <v>65.0</v>
      </c>
      <c r="N28" s="134">
        <f t="shared" si="3"/>
        <v>0.061072165</v>
      </c>
      <c r="O28" s="77"/>
      <c r="P28" s="135"/>
      <c r="Q28" s="135"/>
      <c r="R28" s="135"/>
      <c r="S28" s="135"/>
      <c r="T28" s="135"/>
      <c r="U28" s="135"/>
      <c r="V28" s="135"/>
      <c r="W28" s="135"/>
      <c r="X28" s="77"/>
      <c r="Y28" s="77"/>
      <c r="Z28" s="77"/>
    </row>
    <row r="29" ht="18.0" customHeight="1">
      <c r="A29" s="77"/>
      <c r="B29" s="129" t="s">
        <v>220</v>
      </c>
      <c r="C29" s="130" t="s">
        <v>221</v>
      </c>
      <c r="D29" s="103">
        <v>3.0</v>
      </c>
      <c r="E29" s="104">
        <v>4.0</v>
      </c>
      <c r="F29" s="104">
        <v>25.0</v>
      </c>
      <c r="G29" s="131">
        <v>24.0</v>
      </c>
      <c r="H29" s="104"/>
      <c r="I29" s="132" t="s">
        <v>143</v>
      </c>
      <c r="J29" s="133">
        <v>591.5194049999999</v>
      </c>
      <c r="K29" s="103" t="s">
        <v>35</v>
      </c>
      <c r="L29" s="109">
        <v>2900.0</v>
      </c>
      <c r="M29" s="108">
        <v>74.0</v>
      </c>
      <c r="N29" s="134">
        <f>0.657*0.365*0.287</f>
        <v>0.068824035</v>
      </c>
      <c r="O29" s="77"/>
      <c r="P29" s="135"/>
      <c r="Q29" s="135"/>
      <c r="R29" s="135"/>
      <c r="S29" s="135"/>
      <c r="T29" s="135"/>
      <c r="U29" s="135"/>
      <c r="V29" s="135"/>
      <c r="W29" s="135"/>
      <c r="X29" s="77"/>
      <c r="Y29" s="77"/>
      <c r="Z29" s="77"/>
    </row>
    <row r="30" ht="18.0" customHeight="1">
      <c r="A30" s="77"/>
      <c r="B30" s="129" t="s">
        <v>222</v>
      </c>
      <c r="C30" s="130" t="s">
        <v>223</v>
      </c>
      <c r="D30" s="103">
        <v>4.0</v>
      </c>
      <c r="E30" s="104">
        <v>5.5</v>
      </c>
      <c r="F30" s="104">
        <v>30.0</v>
      </c>
      <c r="G30" s="131">
        <v>28.0</v>
      </c>
      <c r="H30" s="104"/>
      <c r="I30" s="132" t="s">
        <v>143</v>
      </c>
      <c r="J30" s="133">
        <v>682.7832899999999</v>
      </c>
      <c r="K30" s="103" t="s">
        <v>35</v>
      </c>
      <c r="L30" s="109">
        <v>2900.0</v>
      </c>
      <c r="M30" s="108">
        <v>79.0</v>
      </c>
      <c r="N30" s="134">
        <f>0.67*0.365*0.299</f>
        <v>0.07312045</v>
      </c>
      <c r="O30" s="77"/>
      <c r="P30" s="135"/>
      <c r="Q30" s="135"/>
      <c r="R30" s="135"/>
      <c r="S30" s="135"/>
      <c r="T30" s="135"/>
      <c r="U30" s="135"/>
      <c r="V30" s="135"/>
      <c r="W30" s="135"/>
      <c r="X30" s="77"/>
      <c r="Y30" s="77"/>
      <c r="Z30" s="77"/>
    </row>
    <row r="31" ht="18.0" customHeight="1">
      <c r="A31" s="77"/>
      <c r="B31" s="129" t="s">
        <v>224</v>
      </c>
      <c r="C31" s="130" t="s">
        <v>225</v>
      </c>
      <c r="D31" s="103">
        <v>3.0</v>
      </c>
      <c r="E31" s="104">
        <v>4.0</v>
      </c>
      <c r="F31" s="104">
        <v>12.5</v>
      </c>
      <c r="G31" s="131">
        <v>32.0</v>
      </c>
      <c r="H31" s="104"/>
      <c r="I31" s="132" t="s">
        <v>143</v>
      </c>
      <c r="J31" s="133">
        <v>626.2940249999999</v>
      </c>
      <c r="K31" s="103" t="s">
        <v>35</v>
      </c>
      <c r="L31" s="109">
        <v>2900.0</v>
      </c>
      <c r="M31" s="108">
        <v>65.0</v>
      </c>
      <c r="N31" s="134">
        <f>0.637*0.425*0.311</f>
        <v>0.084195475</v>
      </c>
      <c r="O31" s="77"/>
      <c r="P31" s="135"/>
      <c r="Q31" s="135"/>
      <c r="R31" s="135"/>
      <c r="S31" s="135"/>
      <c r="T31" s="135"/>
      <c r="U31" s="135"/>
      <c r="V31" s="135"/>
      <c r="W31" s="135"/>
      <c r="X31" s="77"/>
      <c r="Y31" s="77"/>
      <c r="Z31" s="77"/>
    </row>
    <row r="32" ht="18.0" customHeight="1">
      <c r="A32" s="77"/>
      <c r="B32" s="129" t="s">
        <v>226</v>
      </c>
      <c r="C32" s="130" t="s">
        <v>227</v>
      </c>
      <c r="D32" s="103">
        <v>5.5</v>
      </c>
      <c r="E32" s="104">
        <v>7.5</v>
      </c>
      <c r="F32" s="104">
        <v>30.0</v>
      </c>
      <c r="G32" s="131">
        <v>35.0</v>
      </c>
      <c r="H32" s="104"/>
      <c r="I32" s="132" t="s">
        <v>143</v>
      </c>
      <c r="J32" s="133">
        <v>861.2176349999997</v>
      </c>
      <c r="K32" s="103" t="s">
        <v>35</v>
      </c>
      <c r="L32" s="109">
        <v>2900.0</v>
      </c>
      <c r="M32" s="108">
        <v>103.0</v>
      </c>
      <c r="N32" s="134">
        <f>0.727*0.365*0.299</f>
        <v>0.079341145</v>
      </c>
      <c r="O32" s="77"/>
      <c r="P32" s="135"/>
      <c r="Q32" s="135"/>
      <c r="R32" s="135"/>
      <c r="S32" s="135"/>
      <c r="T32" s="135"/>
      <c r="U32" s="135"/>
      <c r="V32" s="135"/>
      <c r="W32" s="135"/>
      <c r="X32" s="77"/>
      <c r="Y32" s="77"/>
      <c r="Z32" s="77"/>
    </row>
    <row r="33" ht="18.0" customHeight="1">
      <c r="A33" s="77"/>
      <c r="B33" s="136" t="s">
        <v>228</v>
      </c>
      <c r="C33" s="130" t="s">
        <v>229</v>
      </c>
      <c r="D33" s="103">
        <v>4.0</v>
      </c>
      <c r="E33" s="104">
        <v>5.5</v>
      </c>
      <c r="F33" s="104">
        <v>12.5</v>
      </c>
      <c r="G33" s="131">
        <v>38.0</v>
      </c>
      <c r="H33" s="104">
        <v>39.0</v>
      </c>
      <c r="I33" s="132" t="s">
        <v>143</v>
      </c>
      <c r="J33" s="133">
        <v>717.5968949999999</v>
      </c>
      <c r="K33" s="103" t="s">
        <v>35</v>
      </c>
      <c r="L33" s="109">
        <v>2900.0</v>
      </c>
      <c r="M33" s="108">
        <v>71.0</v>
      </c>
      <c r="N33" s="134">
        <f>0.647*0.425*0.311</f>
        <v>0.085517225</v>
      </c>
      <c r="O33" s="77"/>
      <c r="P33" s="135"/>
      <c r="Q33" s="135"/>
      <c r="R33" s="135"/>
      <c r="S33" s="135"/>
      <c r="T33" s="135"/>
      <c r="U33" s="135"/>
      <c r="V33" s="135"/>
      <c r="W33" s="135"/>
      <c r="X33" s="77"/>
      <c r="Y33" s="77"/>
      <c r="Z33" s="77"/>
    </row>
    <row r="34" ht="18.0" customHeight="1">
      <c r="A34" s="77"/>
      <c r="B34" s="129" t="s">
        <v>230</v>
      </c>
      <c r="C34" s="130" t="s">
        <v>231</v>
      </c>
      <c r="D34" s="103">
        <v>7.5</v>
      </c>
      <c r="E34" s="104">
        <v>10.0</v>
      </c>
      <c r="F34" s="104">
        <v>35.0</v>
      </c>
      <c r="G34" s="131">
        <v>40.0</v>
      </c>
      <c r="H34" s="104"/>
      <c r="I34" s="132" t="s">
        <v>143</v>
      </c>
      <c r="J34" s="133">
        <v>956.9647949999998</v>
      </c>
      <c r="K34" s="103" t="s">
        <v>35</v>
      </c>
      <c r="L34" s="109">
        <v>2900.0</v>
      </c>
      <c r="M34" s="108">
        <v>118.0</v>
      </c>
      <c r="N34" s="134">
        <f>0.717*0.465*0.384</f>
        <v>0.12802752</v>
      </c>
      <c r="O34" s="77"/>
      <c r="P34" s="135"/>
      <c r="Q34" s="135"/>
      <c r="R34" s="135"/>
      <c r="S34" s="135"/>
      <c r="T34" s="135"/>
      <c r="U34" s="135"/>
      <c r="V34" s="135"/>
      <c r="W34" s="135"/>
      <c r="X34" s="77"/>
      <c r="Y34" s="77"/>
      <c r="Z34" s="77"/>
    </row>
    <row r="35" ht="18.0" customHeight="1">
      <c r="A35" s="77"/>
      <c r="B35" s="136" t="s">
        <v>232</v>
      </c>
      <c r="C35" s="130" t="s">
        <v>233</v>
      </c>
      <c r="D35" s="103">
        <v>5.5</v>
      </c>
      <c r="E35" s="104">
        <v>7.5</v>
      </c>
      <c r="F35" s="104">
        <v>12.5</v>
      </c>
      <c r="G35" s="131">
        <v>48.0</v>
      </c>
      <c r="H35" s="104">
        <v>49.0</v>
      </c>
      <c r="I35" s="132" t="s">
        <v>143</v>
      </c>
      <c r="J35" s="133">
        <v>909.0912149999999</v>
      </c>
      <c r="K35" s="103" t="s">
        <v>35</v>
      </c>
      <c r="L35" s="109">
        <v>2900.0</v>
      </c>
      <c r="M35" s="108">
        <v>85.0</v>
      </c>
      <c r="N35" s="134">
        <f>0.706*0.425*0.311</f>
        <v>0.09331555</v>
      </c>
      <c r="O35" s="77"/>
      <c r="P35" s="135"/>
      <c r="Q35" s="135"/>
      <c r="R35" s="135"/>
      <c r="S35" s="135"/>
      <c r="T35" s="135"/>
      <c r="U35" s="135"/>
      <c r="V35" s="135"/>
      <c r="W35" s="135"/>
      <c r="X35" s="77"/>
      <c r="Y35" s="77"/>
      <c r="Z35" s="77"/>
    </row>
    <row r="36" ht="18.0" customHeight="1">
      <c r="A36" s="77"/>
      <c r="B36" s="129" t="s">
        <v>234</v>
      </c>
      <c r="C36" s="129" t="s">
        <v>235</v>
      </c>
      <c r="D36" s="103">
        <v>11.0</v>
      </c>
      <c r="E36" s="104">
        <v>15.0</v>
      </c>
      <c r="F36" s="104">
        <v>40.0</v>
      </c>
      <c r="G36" s="131">
        <v>50.0</v>
      </c>
      <c r="H36" s="104"/>
      <c r="I36" s="132" t="s">
        <v>143</v>
      </c>
      <c r="J36" s="133">
        <v>1300.4616299999998</v>
      </c>
      <c r="K36" s="103" t="s">
        <v>35</v>
      </c>
      <c r="L36" s="109">
        <v>2900.0</v>
      </c>
      <c r="M36" s="108">
        <v>181.0</v>
      </c>
      <c r="N36" s="134">
        <f>0.89*0.465*0.46</f>
        <v>0.190371</v>
      </c>
      <c r="O36" s="77"/>
      <c r="P36" s="135"/>
      <c r="Q36" s="135"/>
      <c r="R36" s="135"/>
      <c r="S36" s="135"/>
      <c r="T36" s="135"/>
      <c r="U36" s="135"/>
      <c r="V36" s="135"/>
      <c r="W36" s="135"/>
      <c r="X36" s="77"/>
      <c r="Y36" s="77"/>
      <c r="Z36" s="77"/>
    </row>
    <row r="37" ht="18.0" customHeight="1">
      <c r="A37" s="77"/>
      <c r="B37" s="136" t="s">
        <v>236</v>
      </c>
      <c r="C37" s="139" t="s">
        <v>237</v>
      </c>
      <c r="D37" s="103">
        <v>7.5</v>
      </c>
      <c r="E37" s="104">
        <v>10.0</v>
      </c>
      <c r="F37" s="104">
        <v>12.5</v>
      </c>
      <c r="G37" s="131">
        <v>58.0</v>
      </c>
      <c r="H37" s="104">
        <v>59.0</v>
      </c>
      <c r="I37" s="132" t="s">
        <v>143</v>
      </c>
      <c r="J37" s="133">
        <v>1009.0487549999998</v>
      </c>
      <c r="K37" s="103" t="s">
        <v>35</v>
      </c>
      <c r="L37" s="109">
        <v>2900.0</v>
      </c>
      <c r="M37" s="108">
        <v>110.0</v>
      </c>
      <c r="N37" s="134">
        <f>0.716*0.465*0.381</f>
        <v>0.12685014</v>
      </c>
      <c r="O37" s="77"/>
      <c r="P37" s="135"/>
      <c r="Q37" s="135"/>
      <c r="R37" s="135"/>
      <c r="S37" s="135"/>
      <c r="T37" s="135"/>
      <c r="U37" s="135"/>
      <c r="V37" s="135"/>
      <c r="W37" s="135"/>
      <c r="X37" s="77"/>
      <c r="Y37" s="77"/>
      <c r="Z37" s="77"/>
    </row>
    <row r="38" ht="18.0" customHeight="1">
      <c r="A38" s="77"/>
      <c r="B38" s="129" t="s">
        <v>238</v>
      </c>
      <c r="C38" s="129" t="s">
        <v>239</v>
      </c>
      <c r="D38" s="103">
        <v>15.0</v>
      </c>
      <c r="E38" s="104">
        <v>20.0</v>
      </c>
      <c r="F38" s="104">
        <v>50.0</v>
      </c>
      <c r="G38" s="131">
        <v>60.0</v>
      </c>
      <c r="H38" s="104"/>
      <c r="I38" s="132" t="s">
        <v>143</v>
      </c>
      <c r="J38" s="133">
        <v>1396.2087899999997</v>
      </c>
      <c r="K38" s="103" t="s">
        <v>35</v>
      </c>
      <c r="L38" s="109">
        <v>2900.0</v>
      </c>
      <c r="M38" s="108">
        <v>191.0</v>
      </c>
      <c r="N38" s="134">
        <f>0.89*0.465*0.46</f>
        <v>0.190371</v>
      </c>
      <c r="O38" s="77"/>
      <c r="P38" s="135"/>
      <c r="Q38" s="135"/>
      <c r="R38" s="135"/>
      <c r="S38" s="135"/>
      <c r="T38" s="135"/>
      <c r="U38" s="135"/>
      <c r="V38" s="135"/>
      <c r="W38" s="135"/>
      <c r="X38" s="77"/>
      <c r="Y38" s="77"/>
      <c r="Z38" s="77"/>
    </row>
    <row r="39" ht="18.0" customHeight="1">
      <c r="A39" s="77"/>
      <c r="B39" s="129" t="s">
        <v>240</v>
      </c>
      <c r="C39" s="129" t="s">
        <v>241</v>
      </c>
      <c r="D39" s="103">
        <v>18.5</v>
      </c>
      <c r="E39" s="104">
        <v>25.0</v>
      </c>
      <c r="F39" s="104">
        <v>50.0</v>
      </c>
      <c r="G39" s="131">
        <v>70.0</v>
      </c>
      <c r="H39" s="104"/>
      <c r="I39" s="132" t="s">
        <v>143</v>
      </c>
      <c r="J39" s="133">
        <v>1474.4516849999998</v>
      </c>
      <c r="K39" s="103" t="s">
        <v>35</v>
      </c>
      <c r="L39" s="109">
        <v>2900.0</v>
      </c>
      <c r="M39" s="108">
        <v>209.0</v>
      </c>
      <c r="N39" s="134">
        <f>0.94*0.465*0.46</f>
        <v>0.201066</v>
      </c>
      <c r="O39" s="77"/>
      <c r="P39" s="135"/>
      <c r="Q39" s="135"/>
      <c r="R39" s="135"/>
      <c r="S39" s="135"/>
      <c r="T39" s="135"/>
      <c r="U39" s="135"/>
      <c r="V39" s="135"/>
      <c r="W39" s="135"/>
      <c r="X39" s="77"/>
      <c r="Y39" s="77"/>
      <c r="Z39" s="77"/>
    </row>
    <row r="40" ht="18.0" customHeight="1">
      <c r="A40" s="77"/>
      <c r="B40" s="129" t="s">
        <v>242</v>
      </c>
      <c r="C40" s="129" t="s">
        <v>243</v>
      </c>
      <c r="D40" s="103">
        <v>11.0</v>
      </c>
      <c r="E40" s="104">
        <v>15.0</v>
      </c>
      <c r="F40" s="104">
        <v>12.5</v>
      </c>
      <c r="G40" s="131">
        <v>80.0</v>
      </c>
      <c r="H40" s="104"/>
      <c r="I40" s="132" t="s">
        <v>143</v>
      </c>
      <c r="J40" s="133">
        <v>1361.4341699999995</v>
      </c>
      <c r="K40" s="103" t="s">
        <v>35</v>
      </c>
      <c r="L40" s="109">
        <v>2900.0</v>
      </c>
      <c r="M40" s="108">
        <v>185.0</v>
      </c>
      <c r="N40" s="134">
        <f>0.826*0.465*0.46</f>
        <v>0.1766814</v>
      </c>
      <c r="O40" s="77"/>
      <c r="P40" s="135"/>
      <c r="Q40" s="135"/>
      <c r="R40" s="135"/>
      <c r="S40" s="135"/>
      <c r="T40" s="135"/>
      <c r="U40" s="135"/>
      <c r="V40" s="135"/>
      <c r="W40" s="135"/>
      <c r="X40" s="77"/>
      <c r="Y40" s="77"/>
      <c r="Z40" s="77"/>
    </row>
    <row r="41" ht="18.0" customHeight="1">
      <c r="A41" s="77"/>
      <c r="B41" s="129" t="s">
        <v>244</v>
      </c>
      <c r="C41" s="129" t="s">
        <v>245</v>
      </c>
      <c r="D41" s="103">
        <v>22.0</v>
      </c>
      <c r="E41" s="104">
        <v>30.0</v>
      </c>
      <c r="F41" s="104">
        <v>50.0</v>
      </c>
      <c r="G41" s="131">
        <v>81.0</v>
      </c>
      <c r="H41" s="104"/>
      <c r="I41" s="132" t="s">
        <v>143</v>
      </c>
      <c r="J41" s="133">
        <v>1778.9635199999996</v>
      </c>
      <c r="K41" s="103" t="s">
        <v>35</v>
      </c>
      <c r="L41" s="109">
        <v>2900.0</v>
      </c>
      <c r="M41" s="108">
        <v>245.0</v>
      </c>
      <c r="N41" s="134">
        <f>0.965*0.465*0.46</f>
        <v>0.2064135</v>
      </c>
      <c r="O41" s="77"/>
      <c r="P41" s="135"/>
      <c r="Q41" s="135"/>
      <c r="R41" s="135"/>
      <c r="S41" s="135"/>
      <c r="T41" s="135"/>
      <c r="U41" s="135"/>
      <c r="V41" s="135"/>
      <c r="W41" s="135"/>
      <c r="X41" s="77"/>
      <c r="Y41" s="77"/>
      <c r="Z41" s="77"/>
    </row>
    <row r="42" ht="18.0" customHeight="1">
      <c r="A42" s="77"/>
      <c r="B42" s="129" t="s">
        <v>246</v>
      </c>
      <c r="C42" s="130" t="s">
        <v>247</v>
      </c>
      <c r="D42" s="103">
        <v>2.2</v>
      </c>
      <c r="E42" s="104">
        <v>3.0</v>
      </c>
      <c r="F42" s="104">
        <v>30.0</v>
      </c>
      <c r="G42" s="131">
        <v>15.0</v>
      </c>
      <c r="H42" s="104"/>
      <c r="I42" s="132" t="s">
        <v>153</v>
      </c>
      <c r="J42" s="133">
        <v>513.2765099999998</v>
      </c>
      <c r="K42" s="103" t="s">
        <v>35</v>
      </c>
      <c r="L42" s="109">
        <v>2900.0</v>
      </c>
      <c r="M42" s="108">
        <v>65.0</v>
      </c>
      <c r="N42" s="134">
        <f>0.592*0.385*0.321</f>
        <v>0.07316232</v>
      </c>
      <c r="O42" s="77"/>
      <c r="P42" s="135"/>
      <c r="Q42" s="135"/>
      <c r="R42" s="135"/>
      <c r="S42" s="135"/>
      <c r="T42" s="135"/>
      <c r="U42" s="135"/>
      <c r="V42" s="135"/>
      <c r="W42" s="135"/>
      <c r="X42" s="77"/>
      <c r="Y42" s="77"/>
      <c r="Z42" s="77"/>
    </row>
    <row r="43" ht="18.0" customHeight="1">
      <c r="A43" s="77"/>
      <c r="B43" s="136" t="s">
        <v>248</v>
      </c>
      <c r="C43" s="130" t="s">
        <v>249</v>
      </c>
      <c r="D43" s="103">
        <v>3.0</v>
      </c>
      <c r="E43" s="104">
        <v>4.0</v>
      </c>
      <c r="F43" s="104">
        <v>30.0</v>
      </c>
      <c r="G43" s="131">
        <v>19.0</v>
      </c>
      <c r="H43" s="104">
        <v>20.0</v>
      </c>
      <c r="I43" s="132" t="s">
        <v>153</v>
      </c>
      <c r="J43" s="133">
        <v>600.1350899999999</v>
      </c>
      <c r="K43" s="103" t="s">
        <v>35</v>
      </c>
      <c r="L43" s="109">
        <v>2900.0</v>
      </c>
      <c r="M43" s="108">
        <v>74.0</v>
      </c>
      <c r="N43" s="134">
        <f>0.666*0.385*0.321</f>
        <v>0.08230761</v>
      </c>
      <c r="O43" s="77"/>
      <c r="P43" s="135"/>
      <c r="Q43" s="135"/>
      <c r="R43" s="135"/>
      <c r="S43" s="135"/>
      <c r="T43" s="135"/>
      <c r="U43" s="135"/>
      <c r="V43" s="135"/>
      <c r="W43" s="135"/>
      <c r="X43" s="77"/>
      <c r="Y43" s="77"/>
      <c r="Z43" s="77"/>
    </row>
    <row r="44" ht="18.0" customHeight="1">
      <c r="A44" s="77"/>
      <c r="B44" s="129" t="s">
        <v>250</v>
      </c>
      <c r="C44" s="130" t="s">
        <v>251</v>
      </c>
      <c r="D44" s="103">
        <v>4.0</v>
      </c>
      <c r="E44" s="104">
        <v>5.5</v>
      </c>
      <c r="F44" s="104">
        <v>40.0</v>
      </c>
      <c r="G44" s="131">
        <v>22.0</v>
      </c>
      <c r="H44" s="104"/>
      <c r="I44" s="132" t="s">
        <v>153</v>
      </c>
      <c r="J44" s="133">
        <v>691.4379599999999</v>
      </c>
      <c r="K44" s="103" t="s">
        <v>35</v>
      </c>
      <c r="L44" s="109">
        <v>2900.0</v>
      </c>
      <c r="M44" s="108">
        <v>81.0</v>
      </c>
      <c r="N44" s="134">
        <f>0.676*0.385*0.321</f>
        <v>0.08354346</v>
      </c>
      <c r="O44" s="77"/>
      <c r="P44" s="135"/>
      <c r="Q44" s="135"/>
      <c r="R44" s="135"/>
      <c r="S44" s="135"/>
      <c r="T44" s="135"/>
      <c r="U44" s="135"/>
      <c r="V44" s="135"/>
      <c r="W44" s="135"/>
      <c r="X44" s="77"/>
      <c r="Y44" s="77"/>
      <c r="Z44" s="77"/>
    </row>
    <row r="45" ht="18.0" customHeight="1">
      <c r="A45" s="77"/>
      <c r="B45" s="129" t="s">
        <v>252</v>
      </c>
      <c r="C45" s="130" t="s">
        <v>253</v>
      </c>
      <c r="D45" s="103">
        <v>5.5</v>
      </c>
      <c r="E45" s="104">
        <v>7.5</v>
      </c>
      <c r="F45" s="104">
        <v>40.0</v>
      </c>
      <c r="G45" s="131">
        <v>30.0</v>
      </c>
      <c r="H45" s="104"/>
      <c r="I45" s="132" t="s">
        <v>153</v>
      </c>
      <c r="J45" s="133">
        <v>869.8723049999999</v>
      </c>
      <c r="K45" s="103" t="s">
        <v>35</v>
      </c>
      <c r="L45" s="109">
        <v>2900.0</v>
      </c>
      <c r="M45" s="108">
        <v>105.0</v>
      </c>
      <c r="N45" s="134">
        <f t="shared" ref="N45:N46" si="4">0.733*0.385*0.321</f>
        <v>0.090587805</v>
      </c>
      <c r="O45" s="77"/>
      <c r="P45" s="135"/>
      <c r="Q45" s="135"/>
      <c r="R45" s="135"/>
      <c r="S45" s="135"/>
      <c r="T45" s="135"/>
      <c r="U45" s="135"/>
      <c r="V45" s="135"/>
      <c r="W45" s="135"/>
      <c r="X45" s="77"/>
      <c r="Y45" s="77"/>
      <c r="Z45" s="77"/>
    </row>
    <row r="46" ht="18.0" customHeight="1">
      <c r="A46" s="77"/>
      <c r="B46" s="129" t="s">
        <v>254</v>
      </c>
      <c r="C46" s="130" t="s">
        <v>255</v>
      </c>
      <c r="D46" s="103">
        <v>7.5</v>
      </c>
      <c r="E46" s="104">
        <v>10.0</v>
      </c>
      <c r="F46" s="104">
        <v>50.0</v>
      </c>
      <c r="G46" s="131">
        <v>34.0</v>
      </c>
      <c r="H46" s="104"/>
      <c r="I46" s="132" t="s">
        <v>153</v>
      </c>
      <c r="J46" s="133">
        <v>891.547965</v>
      </c>
      <c r="K46" s="103" t="s">
        <v>35</v>
      </c>
      <c r="L46" s="109">
        <v>2900.0</v>
      </c>
      <c r="M46" s="108">
        <v>108.0</v>
      </c>
      <c r="N46" s="134">
        <f t="shared" si="4"/>
        <v>0.090587805</v>
      </c>
      <c r="O46" s="77"/>
      <c r="P46" s="135"/>
      <c r="Q46" s="135"/>
      <c r="R46" s="135"/>
      <c r="S46" s="135"/>
      <c r="T46" s="135"/>
      <c r="U46" s="135"/>
      <c r="V46" s="135"/>
      <c r="W46" s="135"/>
      <c r="X46" s="77"/>
      <c r="Y46" s="77"/>
      <c r="Z46" s="77"/>
    </row>
    <row r="47" ht="18.0" customHeight="1">
      <c r="A47" s="77"/>
      <c r="B47" s="136" t="s">
        <v>256</v>
      </c>
      <c r="C47" s="130" t="s">
        <v>257</v>
      </c>
      <c r="D47" s="103">
        <v>5.5</v>
      </c>
      <c r="E47" s="104">
        <v>7.5</v>
      </c>
      <c r="F47" s="104">
        <v>25.0</v>
      </c>
      <c r="G47" s="131">
        <v>36.0</v>
      </c>
      <c r="H47" s="104">
        <v>37.0</v>
      </c>
      <c r="I47" s="132" t="s">
        <v>153</v>
      </c>
      <c r="J47" s="133">
        <v>922.1901749999998</v>
      </c>
      <c r="K47" s="103" t="s">
        <v>35</v>
      </c>
      <c r="L47" s="109">
        <v>2900.0</v>
      </c>
      <c r="M47" s="108">
        <v>87.0</v>
      </c>
      <c r="N47" s="134">
        <f>0.714*0.425*0.311</f>
        <v>0.09437295</v>
      </c>
      <c r="O47" s="77"/>
      <c r="P47" s="135"/>
      <c r="Q47" s="135"/>
      <c r="R47" s="135"/>
      <c r="S47" s="135"/>
      <c r="T47" s="135"/>
      <c r="U47" s="135"/>
      <c r="V47" s="135"/>
      <c r="W47" s="135"/>
      <c r="X47" s="77"/>
      <c r="Y47" s="77"/>
      <c r="Z47" s="77"/>
    </row>
    <row r="48" ht="18.0" customHeight="1">
      <c r="A48" s="77"/>
      <c r="B48" s="136" t="s">
        <v>258</v>
      </c>
      <c r="C48" s="139" t="s">
        <v>259</v>
      </c>
      <c r="D48" s="103">
        <v>11.0</v>
      </c>
      <c r="E48" s="104">
        <v>15.0</v>
      </c>
      <c r="F48" s="104">
        <v>50.0</v>
      </c>
      <c r="G48" s="131">
        <v>40.0</v>
      </c>
      <c r="H48" s="104">
        <v>41.0</v>
      </c>
      <c r="I48" s="132" t="s">
        <v>153</v>
      </c>
      <c r="J48" s="133">
        <v>1309.077315</v>
      </c>
      <c r="K48" s="103" t="s">
        <v>35</v>
      </c>
      <c r="L48" s="109">
        <v>2900.0</v>
      </c>
      <c r="M48" s="108">
        <v>183.0</v>
      </c>
      <c r="N48" s="134">
        <f>0.912*0.495*0.46</f>
        <v>0.2076624</v>
      </c>
      <c r="O48" s="77"/>
      <c r="P48" s="135"/>
      <c r="Q48" s="135"/>
      <c r="R48" s="135"/>
      <c r="S48" s="135"/>
      <c r="T48" s="135"/>
      <c r="U48" s="135"/>
      <c r="V48" s="135"/>
      <c r="W48" s="135"/>
      <c r="X48" s="77"/>
      <c r="Y48" s="77"/>
      <c r="Z48" s="77"/>
    </row>
    <row r="49" ht="18.0" customHeight="1">
      <c r="A49" s="77"/>
      <c r="B49" s="129" t="s">
        <v>260</v>
      </c>
      <c r="C49" s="129" t="s">
        <v>261</v>
      </c>
      <c r="D49" s="103">
        <v>7.5</v>
      </c>
      <c r="E49" s="104">
        <v>10.0</v>
      </c>
      <c r="F49" s="104">
        <v>25.0</v>
      </c>
      <c r="G49" s="131">
        <v>48.0</v>
      </c>
      <c r="H49" s="104"/>
      <c r="I49" s="132" t="s">
        <v>153</v>
      </c>
      <c r="J49" s="133">
        <v>943.9048199999997</v>
      </c>
      <c r="K49" s="103" t="s">
        <v>35</v>
      </c>
      <c r="L49" s="109">
        <v>2900.0</v>
      </c>
      <c r="M49" s="108">
        <v>91.0</v>
      </c>
      <c r="N49" s="134">
        <f>0.714*0.425*0.311</f>
        <v>0.09437295</v>
      </c>
      <c r="O49" s="77"/>
      <c r="P49" s="135"/>
      <c r="Q49" s="135"/>
      <c r="R49" s="135"/>
      <c r="S49" s="135"/>
      <c r="T49" s="135"/>
      <c r="U49" s="135"/>
      <c r="V49" s="135"/>
      <c r="W49" s="135"/>
      <c r="X49" s="77"/>
      <c r="Y49" s="77"/>
      <c r="Z49" s="77"/>
    </row>
    <row r="50" ht="18.0" customHeight="1">
      <c r="A50" s="77"/>
      <c r="B50" s="136" t="s">
        <v>262</v>
      </c>
      <c r="C50" s="139" t="s">
        <v>263</v>
      </c>
      <c r="D50" s="103">
        <v>15.0</v>
      </c>
      <c r="E50" s="104">
        <v>20.0</v>
      </c>
      <c r="F50" s="104">
        <v>50.0</v>
      </c>
      <c r="G50" s="131">
        <v>50.0</v>
      </c>
      <c r="H50" s="104">
        <v>51.0</v>
      </c>
      <c r="I50" s="132" t="s">
        <v>153</v>
      </c>
      <c r="J50" s="133">
        <v>1404.8634599999998</v>
      </c>
      <c r="K50" s="103" t="s">
        <v>35</v>
      </c>
      <c r="L50" s="109">
        <v>2900.0</v>
      </c>
      <c r="M50" s="108">
        <v>193.0</v>
      </c>
      <c r="N50" s="134">
        <f>0.912*0.5*0.46</f>
        <v>0.20976</v>
      </c>
      <c r="O50" s="77"/>
      <c r="P50" s="135"/>
      <c r="Q50" s="135"/>
      <c r="R50" s="135"/>
      <c r="S50" s="135"/>
      <c r="T50" s="135"/>
      <c r="U50" s="135"/>
      <c r="V50" s="135"/>
      <c r="W50" s="135"/>
      <c r="X50" s="77"/>
      <c r="Y50" s="77"/>
      <c r="Z50" s="77"/>
    </row>
    <row r="51" ht="18.0" customHeight="1">
      <c r="A51" s="77"/>
      <c r="B51" s="129" t="s">
        <v>264</v>
      </c>
      <c r="C51" s="129" t="s">
        <v>265</v>
      </c>
      <c r="D51" s="103">
        <v>18.5</v>
      </c>
      <c r="E51" s="104">
        <v>25.0</v>
      </c>
      <c r="F51" s="104">
        <v>50.0</v>
      </c>
      <c r="G51" s="131">
        <v>61.0</v>
      </c>
      <c r="H51" s="104"/>
      <c r="I51" s="132" t="s">
        <v>153</v>
      </c>
      <c r="J51" s="133">
        <v>1483.0673699999998</v>
      </c>
      <c r="K51" s="103" t="s">
        <v>35</v>
      </c>
      <c r="L51" s="109">
        <v>2900.0</v>
      </c>
      <c r="M51" s="108">
        <v>210.0</v>
      </c>
      <c r="N51" s="134">
        <f>0.962*0.5*0.46</f>
        <v>0.22126</v>
      </c>
      <c r="O51" s="77"/>
      <c r="P51" s="135"/>
      <c r="Q51" s="135"/>
      <c r="R51" s="135"/>
      <c r="S51" s="135"/>
      <c r="T51" s="135"/>
      <c r="U51" s="135"/>
      <c r="V51" s="135"/>
      <c r="W51" s="135"/>
      <c r="X51" s="77"/>
      <c r="Y51" s="77"/>
      <c r="Z51" s="77"/>
    </row>
    <row r="52" ht="18.0" customHeight="1">
      <c r="A52" s="77"/>
      <c r="B52" s="136" t="s">
        <v>266</v>
      </c>
      <c r="C52" s="139" t="s">
        <v>267</v>
      </c>
      <c r="D52" s="103">
        <v>32.0</v>
      </c>
      <c r="E52" s="104">
        <v>43.0</v>
      </c>
      <c r="F52" s="104">
        <v>50.0</v>
      </c>
      <c r="G52" s="131">
        <v>67.0</v>
      </c>
      <c r="H52" s="104">
        <v>68.0</v>
      </c>
      <c r="I52" s="132" t="s">
        <v>153</v>
      </c>
      <c r="J52" s="133">
        <v>1792.0234949999995</v>
      </c>
      <c r="K52" s="103" t="s">
        <v>35</v>
      </c>
      <c r="L52" s="109">
        <v>2900.0</v>
      </c>
      <c r="M52" s="108">
        <v>248.0</v>
      </c>
      <c r="N52" s="134">
        <f>0.987*0.5*0.46</f>
        <v>0.22701</v>
      </c>
      <c r="O52" s="77"/>
      <c r="P52" s="135"/>
      <c r="Q52" s="135"/>
      <c r="R52" s="135"/>
      <c r="S52" s="135"/>
      <c r="T52" s="135"/>
      <c r="U52" s="135"/>
      <c r="V52" s="135"/>
      <c r="W52" s="135"/>
      <c r="X52" s="77"/>
      <c r="Y52" s="77"/>
      <c r="Z52" s="77"/>
    </row>
    <row r="53" ht="18.0" customHeight="1">
      <c r="A53" s="77"/>
      <c r="B53" s="136" t="s">
        <v>268</v>
      </c>
      <c r="C53" s="139" t="s">
        <v>269</v>
      </c>
      <c r="D53" s="103">
        <v>30.0</v>
      </c>
      <c r="E53" s="104">
        <v>40.0</v>
      </c>
      <c r="F53" s="104">
        <v>50.0</v>
      </c>
      <c r="G53" s="131">
        <v>83.0</v>
      </c>
      <c r="H53" s="104">
        <v>85.0</v>
      </c>
      <c r="I53" s="132" t="s">
        <v>153</v>
      </c>
      <c r="J53" s="133">
        <v>2361.5553599999994</v>
      </c>
      <c r="K53" s="103" t="s">
        <v>35</v>
      </c>
      <c r="L53" s="109">
        <v>2900.0</v>
      </c>
      <c r="M53" s="108">
        <v>309.0</v>
      </c>
      <c r="N53" s="134">
        <f>1.062*0.5*0.51</f>
        <v>0.27081</v>
      </c>
      <c r="O53" s="77"/>
      <c r="P53" s="135"/>
      <c r="Q53" s="135"/>
      <c r="R53" s="135"/>
      <c r="S53" s="135"/>
      <c r="T53" s="135"/>
      <c r="U53" s="135"/>
      <c r="V53" s="135"/>
      <c r="W53" s="135"/>
      <c r="X53" s="77"/>
      <c r="Y53" s="77"/>
      <c r="Z53" s="77"/>
    </row>
    <row r="54" ht="18.0" customHeight="1">
      <c r="A54" s="77"/>
      <c r="B54" s="129" t="s">
        <v>270</v>
      </c>
      <c r="C54" s="130" t="s">
        <v>271</v>
      </c>
      <c r="D54" s="103">
        <v>3.0</v>
      </c>
      <c r="E54" s="104">
        <v>4.0</v>
      </c>
      <c r="F54" s="104">
        <v>50.0</v>
      </c>
      <c r="G54" s="131">
        <v>13.0</v>
      </c>
      <c r="H54" s="104"/>
      <c r="I54" s="132" t="s">
        <v>161</v>
      </c>
      <c r="J54" s="133">
        <v>643.8372749999999</v>
      </c>
      <c r="K54" s="103" t="s">
        <v>35</v>
      </c>
      <c r="L54" s="109">
        <v>2900.0</v>
      </c>
      <c r="M54" s="108">
        <v>84.0</v>
      </c>
      <c r="N54" s="134">
        <f>0.686*0.475*0.321</f>
        <v>0.10459785</v>
      </c>
      <c r="O54" s="77"/>
      <c r="P54" s="135"/>
      <c r="Q54" s="135"/>
      <c r="R54" s="135"/>
      <c r="S54" s="135"/>
      <c r="T54" s="135"/>
      <c r="U54" s="135"/>
      <c r="V54" s="135"/>
      <c r="W54" s="135"/>
      <c r="X54" s="77"/>
      <c r="Y54" s="77"/>
      <c r="Z54" s="77"/>
    </row>
    <row r="55" ht="18.0" customHeight="1">
      <c r="A55" s="77"/>
      <c r="B55" s="129" t="s">
        <v>272</v>
      </c>
      <c r="C55" s="130" t="s">
        <v>273</v>
      </c>
      <c r="D55" s="103">
        <v>4.0</v>
      </c>
      <c r="E55" s="104">
        <v>5.5</v>
      </c>
      <c r="F55" s="104">
        <v>50.0</v>
      </c>
      <c r="G55" s="131">
        <v>18.0</v>
      </c>
      <c r="H55" s="104"/>
      <c r="I55" s="132" t="s">
        <v>161</v>
      </c>
      <c r="J55" s="133">
        <v>726.2125799999999</v>
      </c>
      <c r="K55" s="103" t="s">
        <v>35</v>
      </c>
      <c r="L55" s="109">
        <v>2900.0</v>
      </c>
      <c r="M55" s="108">
        <v>91.0</v>
      </c>
      <c r="N55" s="134">
        <f>0.696*0.475*0.321</f>
        <v>0.1061226</v>
      </c>
      <c r="O55" s="77"/>
      <c r="P55" s="135"/>
      <c r="Q55" s="135"/>
      <c r="R55" s="135"/>
      <c r="S55" s="135"/>
      <c r="T55" s="135"/>
      <c r="U55" s="135"/>
      <c r="V55" s="135"/>
      <c r="W55" s="135"/>
      <c r="X55" s="77"/>
      <c r="Y55" s="77"/>
      <c r="Z55" s="77"/>
    </row>
    <row r="56" ht="18.0" customHeight="1">
      <c r="A56" s="77"/>
      <c r="B56" s="136" t="s">
        <v>274</v>
      </c>
      <c r="C56" s="130" t="s">
        <v>275</v>
      </c>
      <c r="D56" s="103">
        <v>5.5</v>
      </c>
      <c r="E56" s="104">
        <v>7.5</v>
      </c>
      <c r="F56" s="104">
        <v>50.0</v>
      </c>
      <c r="G56" s="131">
        <v>22.0</v>
      </c>
      <c r="H56" s="104">
        <v>23.0</v>
      </c>
      <c r="I56" s="132" t="s">
        <v>161</v>
      </c>
      <c r="J56" s="133">
        <v>913.2626099999998</v>
      </c>
      <c r="K56" s="103" t="s">
        <v>35</v>
      </c>
      <c r="L56" s="109">
        <v>2900.0</v>
      </c>
      <c r="M56" s="108">
        <v>114.0</v>
      </c>
      <c r="N56" s="134">
        <f t="shared" ref="N56:N57" si="5">0.753*0.475*0.321</f>
        <v>0.114813675</v>
      </c>
      <c r="O56" s="77"/>
      <c r="P56" s="135"/>
      <c r="Q56" s="135"/>
      <c r="R56" s="135"/>
      <c r="S56" s="135"/>
      <c r="T56" s="135"/>
      <c r="U56" s="135"/>
      <c r="V56" s="135"/>
      <c r="W56" s="135"/>
      <c r="X56" s="77"/>
      <c r="Y56" s="77"/>
      <c r="Z56" s="77"/>
    </row>
    <row r="57" ht="18.0" customHeight="1">
      <c r="A57" s="77"/>
      <c r="B57" s="136" t="s">
        <v>276</v>
      </c>
      <c r="C57" s="130" t="s">
        <v>277</v>
      </c>
      <c r="D57" s="103">
        <v>7.5</v>
      </c>
      <c r="E57" s="104">
        <v>10.0</v>
      </c>
      <c r="F57" s="104">
        <v>50.0</v>
      </c>
      <c r="G57" s="131">
        <v>28.0</v>
      </c>
      <c r="H57" s="104">
        <v>29.0</v>
      </c>
      <c r="I57" s="132" t="s">
        <v>161</v>
      </c>
      <c r="J57" s="133">
        <v>934.9772549999999</v>
      </c>
      <c r="K57" s="103" t="s">
        <v>35</v>
      </c>
      <c r="L57" s="109">
        <v>2900.0</v>
      </c>
      <c r="M57" s="108">
        <v>117.0</v>
      </c>
      <c r="N57" s="134">
        <f t="shared" si="5"/>
        <v>0.114813675</v>
      </c>
      <c r="O57" s="77"/>
      <c r="P57" s="135"/>
      <c r="Q57" s="135"/>
      <c r="R57" s="135"/>
      <c r="S57" s="135"/>
      <c r="T57" s="135"/>
      <c r="U57" s="135"/>
      <c r="V57" s="135"/>
      <c r="W57" s="135"/>
      <c r="X57" s="77"/>
      <c r="Y57" s="77"/>
      <c r="Z57" s="77"/>
    </row>
    <row r="58" ht="18.0" customHeight="1">
      <c r="A58" s="77"/>
      <c r="B58" s="136" t="s">
        <v>278</v>
      </c>
      <c r="C58" s="130" t="s">
        <v>279</v>
      </c>
      <c r="D58" s="103">
        <v>11.0</v>
      </c>
      <c r="E58" s="104">
        <v>15.0</v>
      </c>
      <c r="F58" s="104">
        <v>80.0</v>
      </c>
      <c r="G58" s="131">
        <v>30.0</v>
      </c>
      <c r="H58" s="104"/>
      <c r="I58" s="132" t="s">
        <v>161</v>
      </c>
      <c r="J58" s="133">
        <v>1348.3352099999997</v>
      </c>
      <c r="K58" s="103" t="s">
        <v>35</v>
      </c>
      <c r="L58" s="109">
        <v>2900.0</v>
      </c>
      <c r="M58" s="108">
        <v>194.0</v>
      </c>
      <c r="N58" s="134">
        <f t="shared" ref="N58:N59" si="6">0.919*0.525*0.46</f>
        <v>0.2219385</v>
      </c>
      <c r="O58" s="77"/>
      <c r="P58" s="135"/>
      <c r="Q58" s="135"/>
      <c r="R58" s="135"/>
      <c r="S58" s="135"/>
      <c r="T58" s="135"/>
      <c r="U58" s="135"/>
      <c r="V58" s="135"/>
      <c r="W58" s="135"/>
      <c r="X58" s="77"/>
      <c r="Y58" s="77"/>
      <c r="Z58" s="77"/>
    </row>
    <row r="59" ht="18.0" customHeight="1">
      <c r="A59" s="77"/>
      <c r="B59" s="129" t="s">
        <v>280</v>
      </c>
      <c r="C59" s="130" t="s">
        <v>281</v>
      </c>
      <c r="D59" s="103">
        <v>15.0</v>
      </c>
      <c r="E59" s="104">
        <v>20.0</v>
      </c>
      <c r="F59" s="104">
        <v>80.0</v>
      </c>
      <c r="G59" s="131">
        <v>38.0</v>
      </c>
      <c r="H59" s="104"/>
      <c r="I59" s="132" t="s">
        <v>161</v>
      </c>
      <c r="J59" s="133">
        <v>1439.63808</v>
      </c>
      <c r="K59" s="103" t="s">
        <v>35</v>
      </c>
      <c r="L59" s="109">
        <v>2900.0</v>
      </c>
      <c r="M59" s="108">
        <v>204.0</v>
      </c>
      <c r="N59" s="134">
        <f t="shared" si="6"/>
        <v>0.2219385</v>
      </c>
      <c r="O59" s="77"/>
      <c r="P59" s="135"/>
      <c r="Q59" s="135"/>
      <c r="R59" s="135"/>
      <c r="S59" s="135"/>
      <c r="T59" s="135"/>
      <c r="U59" s="135"/>
      <c r="V59" s="135"/>
      <c r="W59" s="135"/>
      <c r="X59" s="77"/>
      <c r="Y59" s="77"/>
      <c r="Z59" s="77"/>
    </row>
    <row r="60" ht="18.0" customHeight="1">
      <c r="A60" s="77"/>
      <c r="B60" s="136" t="s">
        <v>282</v>
      </c>
      <c r="C60" s="130" t="s">
        <v>283</v>
      </c>
      <c r="D60" s="103">
        <v>11.0</v>
      </c>
      <c r="E60" s="104">
        <v>15.0</v>
      </c>
      <c r="F60" s="104">
        <v>50.0</v>
      </c>
      <c r="G60" s="131">
        <v>40.0</v>
      </c>
      <c r="H60" s="104"/>
      <c r="I60" s="132" t="s">
        <v>161</v>
      </c>
      <c r="J60" s="133">
        <v>1317.7319849999997</v>
      </c>
      <c r="K60" s="103" t="s">
        <v>35</v>
      </c>
      <c r="L60" s="109">
        <v>2900.0</v>
      </c>
      <c r="M60" s="108">
        <v>170.0</v>
      </c>
      <c r="N60" s="134">
        <f>0.88*0.525*0.46</f>
        <v>0.21252</v>
      </c>
      <c r="O60" s="77"/>
      <c r="P60" s="135"/>
      <c r="Q60" s="135"/>
      <c r="R60" s="135"/>
      <c r="S60" s="135"/>
      <c r="T60" s="135"/>
      <c r="U60" s="135"/>
      <c r="V60" s="135"/>
      <c r="W60" s="135"/>
      <c r="X60" s="77"/>
      <c r="Y60" s="77"/>
      <c r="Z60" s="77"/>
    </row>
    <row r="61" ht="18.0" customHeight="1">
      <c r="A61" s="77"/>
      <c r="B61" s="129" t="s">
        <v>284</v>
      </c>
      <c r="C61" s="129" t="s">
        <v>285</v>
      </c>
      <c r="D61" s="103">
        <v>18.5</v>
      </c>
      <c r="E61" s="104">
        <v>25.0</v>
      </c>
      <c r="F61" s="104">
        <v>80.0</v>
      </c>
      <c r="G61" s="131">
        <v>47.0</v>
      </c>
      <c r="H61" s="104"/>
      <c r="I61" s="132" t="s">
        <v>161</v>
      </c>
      <c r="J61" s="133">
        <v>1517.84199</v>
      </c>
      <c r="K61" s="103" t="s">
        <v>35</v>
      </c>
      <c r="L61" s="109">
        <v>2900.0</v>
      </c>
      <c r="M61" s="108">
        <v>222.0</v>
      </c>
      <c r="N61" s="134">
        <f>0.969*0.525*0.46</f>
        <v>0.2340135</v>
      </c>
      <c r="O61" s="77"/>
      <c r="P61" s="135"/>
      <c r="Q61" s="135"/>
      <c r="R61" s="135"/>
      <c r="S61" s="135"/>
      <c r="T61" s="135"/>
      <c r="U61" s="135"/>
      <c r="V61" s="135"/>
      <c r="W61" s="135"/>
      <c r="X61" s="77"/>
      <c r="Y61" s="77"/>
      <c r="Z61" s="77"/>
    </row>
    <row r="62" ht="18.0" customHeight="1">
      <c r="A62" s="77"/>
      <c r="B62" s="129" t="s">
        <v>286</v>
      </c>
      <c r="C62" s="129" t="s">
        <v>287</v>
      </c>
      <c r="D62" s="103">
        <v>15.0</v>
      </c>
      <c r="E62" s="104">
        <v>20.0</v>
      </c>
      <c r="F62" s="104">
        <v>50.0</v>
      </c>
      <c r="G62" s="131">
        <v>48.0</v>
      </c>
      <c r="H62" s="104"/>
      <c r="I62" s="132" t="s">
        <v>161</v>
      </c>
      <c r="J62" s="133">
        <v>1417.9234349999997</v>
      </c>
      <c r="K62" s="103" t="s">
        <v>35</v>
      </c>
      <c r="L62" s="109">
        <v>2900.0</v>
      </c>
      <c r="M62" s="108">
        <v>181.0</v>
      </c>
      <c r="N62" s="134">
        <f>0.88*0.525*0.46</f>
        <v>0.21252</v>
      </c>
      <c r="O62" s="77"/>
      <c r="P62" s="135"/>
      <c r="Q62" s="135"/>
      <c r="R62" s="135"/>
      <c r="S62" s="135"/>
      <c r="T62" s="135"/>
      <c r="U62" s="135"/>
      <c r="V62" s="135"/>
      <c r="W62" s="135"/>
      <c r="X62" s="77"/>
      <c r="Y62" s="77"/>
      <c r="Z62" s="77"/>
    </row>
    <row r="63" ht="18.0" customHeight="1">
      <c r="A63" s="77"/>
      <c r="B63" s="129" t="s">
        <v>288</v>
      </c>
      <c r="C63" s="129" t="s">
        <v>289</v>
      </c>
      <c r="D63" s="103">
        <v>22.0</v>
      </c>
      <c r="E63" s="104">
        <v>30.0</v>
      </c>
      <c r="F63" s="104">
        <v>80.0</v>
      </c>
      <c r="G63" s="131">
        <v>54.0</v>
      </c>
      <c r="H63" s="104"/>
      <c r="I63" s="132" t="s">
        <v>161</v>
      </c>
      <c r="J63" s="133">
        <v>1822.3928099999998</v>
      </c>
      <c r="K63" s="103" t="s">
        <v>35</v>
      </c>
      <c r="L63" s="109">
        <v>2900.0</v>
      </c>
      <c r="M63" s="108">
        <v>258.0</v>
      </c>
      <c r="N63" s="134">
        <f>0.994*0.525*0.46</f>
        <v>0.240051</v>
      </c>
      <c r="O63" s="77"/>
      <c r="P63" s="135"/>
      <c r="Q63" s="135"/>
      <c r="R63" s="135"/>
      <c r="S63" s="135"/>
      <c r="T63" s="135"/>
      <c r="U63" s="135"/>
      <c r="V63" s="135"/>
      <c r="W63" s="135"/>
      <c r="X63" s="77"/>
      <c r="Y63" s="77"/>
      <c r="Z63" s="77"/>
    </row>
    <row r="64" ht="18.0" customHeight="1">
      <c r="A64" s="77"/>
      <c r="B64" s="129" t="s">
        <v>290</v>
      </c>
      <c r="C64" s="129" t="s">
        <v>291</v>
      </c>
      <c r="D64" s="103">
        <v>30.0</v>
      </c>
      <c r="E64" s="104">
        <v>40.0</v>
      </c>
      <c r="F64" s="104">
        <v>80.0</v>
      </c>
      <c r="G64" s="131">
        <v>67.0</v>
      </c>
      <c r="H64" s="104"/>
      <c r="I64" s="132" t="s">
        <v>161</v>
      </c>
      <c r="J64" s="133">
        <v>2387.7142949999998</v>
      </c>
      <c r="K64" s="103" t="s">
        <v>35</v>
      </c>
      <c r="L64" s="109">
        <v>2900.0</v>
      </c>
      <c r="M64" s="108">
        <v>319.0</v>
      </c>
      <c r="N64" s="134">
        <f>1.069*0.525*0.51</f>
        <v>0.28622475</v>
      </c>
      <c r="O64" s="77"/>
      <c r="P64" s="135"/>
      <c r="Q64" s="135"/>
      <c r="R64" s="135"/>
      <c r="S64" s="135"/>
      <c r="T64" s="135"/>
      <c r="U64" s="135"/>
      <c r="V64" s="135"/>
      <c r="W64" s="135"/>
      <c r="X64" s="77"/>
      <c r="Y64" s="77"/>
      <c r="Z64" s="77"/>
    </row>
    <row r="65" ht="18.0" customHeight="1">
      <c r="A65" s="77"/>
      <c r="B65" s="129" t="s">
        <v>292</v>
      </c>
      <c r="C65" s="130" t="s">
        <v>292</v>
      </c>
      <c r="D65" s="103">
        <v>2.2</v>
      </c>
      <c r="E65" s="104">
        <v>3.0</v>
      </c>
      <c r="F65" s="104">
        <v>50.0</v>
      </c>
      <c r="G65" s="131">
        <v>9.0</v>
      </c>
      <c r="H65" s="104"/>
      <c r="I65" s="132" t="s">
        <v>168</v>
      </c>
      <c r="J65" s="133">
        <v>526.37547</v>
      </c>
      <c r="K65" s="103" t="s">
        <v>35</v>
      </c>
      <c r="L65" s="109">
        <v>2900.0</v>
      </c>
      <c r="M65" s="108">
        <v>65.0</v>
      </c>
      <c r="N65" s="134">
        <f>0.598*0.475*0.29</f>
        <v>0.0823745</v>
      </c>
      <c r="O65" s="77"/>
      <c r="P65" s="135"/>
      <c r="Q65" s="135"/>
      <c r="R65" s="135"/>
      <c r="S65" s="135"/>
      <c r="T65" s="135"/>
      <c r="U65" s="135"/>
      <c r="V65" s="135"/>
      <c r="W65" s="135"/>
      <c r="X65" s="77"/>
      <c r="Y65" s="77"/>
      <c r="Z65" s="77"/>
    </row>
    <row r="66" ht="18.0" customHeight="1">
      <c r="A66" s="77"/>
      <c r="B66" s="129" t="s">
        <v>293</v>
      </c>
      <c r="C66" s="130" t="s">
        <v>293</v>
      </c>
      <c r="D66" s="103">
        <v>4.0</v>
      </c>
      <c r="E66" s="104">
        <v>5.5</v>
      </c>
      <c r="F66" s="104">
        <v>60.0</v>
      </c>
      <c r="G66" s="131">
        <v>15.0</v>
      </c>
      <c r="H66" s="104"/>
      <c r="I66" s="132" t="s">
        <v>168</v>
      </c>
      <c r="J66" s="133">
        <v>704.4979349999999</v>
      </c>
      <c r="K66" s="103" t="s">
        <v>35</v>
      </c>
      <c r="L66" s="109">
        <v>2900.0</v>
      </c>
      <c r="M66" s="108">
        <v>83.0</v>
      </c>
      <c r="N66" s="134">
        <f>0.675*0.475*0.29</f>
        <v>0.09298125</v>
      </c>
      <c r="O66" s="77"/>
      <c r="P66" s="135"/>
      <c r="Q66" s="135"/>
      <c r="R66" s="135"/>
      <c r="S66" s="135"/>
      <c r="T66" s="135"/>
      <c r="U66" s="135"/>
      <c r="V66" s="135"/>
      <c r="W66" s="135"/>
      <c r="X66" s="77"/>
      <c r="Y66" s="77"/>
      <c r="Z66" s="77"/>
    </row>
    <row r="67" ht="18.0" customHeight="1">
      <c r="A67" s="77"/>
      <c r="B67" s="129" t="s">
        <v>294</v>
      </c>
      <c r="C67" s="130" t="s">
        <v>294</v>
      </c>
      <c r="D67" s="103">
        <v>5.5</v>
      </c>
      <c r="E67" s="104">
        <v>7.5</v>
      </c>
      <c r="F67" s="104">
        <v>80.0</v>
      </c>
      <c r="G67" s="131">
        <v>17.0</v>
      </c>
      <c r="H67" s="104"/>
      <c r="I67" s="132" t="s">
        <v>168</v>
      </c>
      <c r="J67" s="133">
        <v>948.0762149999999</v>
      </c>
      <c r="K67" s="103" t="s">
        <v>35</v>
      </c>
      <c r="L67" s="109">
        <v>2900.0</v>
      </c>
      <c r="M67" s="108">
        <v>119.0</v>
      </c>
      <c r="N67" s="134">
        <f t="shared" ref="N67:N68" si="7">0.77*0.525*0.322</f>
        <v>0.1301685</v>
      </c>
      <c r="O67" s="77"/>
      <c r="P67" s="135"/>
      <c r="Q67" s="135"/>
      <c r="R67" s="135"/>
      <c r="S67" s="135"/>
      <c r="T67" s="135"/>
      <c r="U67" s="135"/>
      <c r="V67" s="135"/>
      <c r="W67" s="135"/>
      <c r="X67" s="77"/>
      <c r="Y67" s="77"/>
      <c r="Z67" s="77"/>
    </row>
    <row r="68" ht="18.0" customHeight="1">
      <c r="A68" s="77"/>
      <c r="B68" s="129" t="s">
        <v>295</v>
      </c>
      <c r="C68" s="130" t="s">
        <v>295</v>
      </c>
      <c r="D68" s="103">
        <v>7.5</v>
      </c>
      <c r="E68" s="104">
        <v>10.0</v>
      </c>
      <c r="F68" s="104">
        <v>80.0</v>
      </c>
      <c r="G68" s="131">
        <v>22.0</v>
      </c>
      <c r="H68" s="104"/>
      <c r="I68" s="132" t="s">
        <v>168</v>
      </c>
      <c r="J68" s="133">
        <v>969.7908599999997</v>
      </c>
      <c r="K68" s="103" t="s">
        <v>35</v>
      </c>
      <c r="L68" s="109">
        <v>2900.0</v>
      </c>
      <c r="M68" s="108">
        <v>122.0</v>
      </c>
      <c r="N68" s="134">
        <f t="shared" si="7"/>
        <v>0.1301685</v>
      </c>
      <c r="O68" s="77"/>
      <c r="P68" s="135"/>
      <c r="Q68" s="135"/>
      <c r="R68" s="135"/>
      <c r="S68" s="135"/>
      <c r="T68" s="135"/>
      <c r="U68" s="135"/>
      <c r="V68" s="135"/>
      <c r="W68" s="135"/>
      <c r="X68" s="77"/>
      <c r="Y68" s="77"/>
      <c r="Z68" s="77"/>
    </row>
    <row r="69" ht="18.0" customHeight="1">
      <c r="A69" s="77"/>
      <c r="B69" s="136" t="s">
        <v>296</v>
      </c>
      <c r="C69" s="130" t="s">
        <v>296</v>
      </c>
      <c r="D69" s="103">
        <v>11.0</v>
      </c>
      <c r="E69" s="104">
        <v>15.0</v>
      </c>
      <c r="F69" s="104">
        <v>100.0</v>
      </c>
      <c r="G69" s="131">
        <v>25.0</v>
      </c>
      <c r="H69" s="104"/>
      <c r="I69" s="132" t="s">
        <v>168</v>
      </c>
      <c r="J69" s="133">
        <v>1383.1488149999998</v>
      </c>
      <c r="K69" s="103" t="s">
        <v>35</v>
      </c>
      <c r="L69" s="109">
        <v>2900.0</v>
      </c>
      <c r="M69" s="108">
        <v>175.0</v>
      </c>
      <c r="N69" s="134">
        <f t="shared" ref="N69:N72" si="8">0.925*0.575*0.46</f>
        <v>0.2446625</v>
      </c>
      <c r="O69" s="77"/>
      <c r="P69" s="135"/>
      <c r="Q69" s="135"/>
      <c r="R69" s="135"/>
      <c r="S69" s="135"/>
      <c r="T69" s="135"/>
      <c r="U69" s="135"/>
      <c r="V69" s="135"/>
      <c r="W69" s="135"/>
      <c r="X69" s="77"/>
      <c r="Y69" s="77"/>
      <c r="Z69" s="77"/>
    </row>
    <row r="70" ht="18.0" customHeight="1">
      <c r="A70" s="77"/>
      <c r="B70" s="129" t="s">
        <v>297</v>
      </c>
      <c r="C70" s="130" t="s">
        <v>297</v>
      </c>
      <c r="D70" s="103">
        <v>11.0</v>
      </c>
      <c r="E70" s="104">
        <v>15.0</v>
      </c>
      <c r="F70" s="104">
        <v>100.0</v>
      </c>
      <c r="G70" s="131">
        <v>27.0</v>
      </c>
      <c r="H70" s="104"/>
      <c r="I70" s="132" t="s">
        <v>168</v>
      </c>
      <c r="J70" s="133">
        <v>1378.66554</v>
      </c>
      <c r="K70" s="103" t="s">
        <v>35</v>
      </c>
      <c r="L70" s="109">
        <v>2900.0</v>
      </c>
      <c r="M70" s="108">
        <v>183.0</v>
      </c>
      <c r="N70" s="134">
        <f t="shared" si="8"/>
        <v>0.2446625</v>
      </c>
      <c r="O70" s="77"/>
      <c r="P70" s="135"/>
      <c r="Q70" s="135"/>
      <c r="R70" s="135"/>
      <c r="S70" s="135"/>
      <c r="T70" s="135"/>
      <c r="U70" s="135"/>
      <c r="V70" s="135"/>
      <c r="W70" s="135"/>
      <c r="X70" s="77"/>
      <c r="Y70" s="77"/>
      <c r="Z70" s="77"/>
    </row>
    <row r="71" ht="18.0" customHeight="1">
      <c r="A71" s="77"/>
      <c r="B71" s="136" t="s">
        <v>298</v>
      </c>
      <c r="C71" s="130" t="s">
        <v>298</v>
      </c>
      <c r="D71" s="103">
        <v>15.0</v>
      </c>
      <c r="E71" s="104">
        <v>20.0</v>
      </c>
      <c r="F71" s="104">
        <v>100.0</v>
      </c>
      <c r="G71" s="131">
        <v>32.0</v>
      </c>
      <c r="H71" s="104"/>
      <c r="I71" s="132" t="s">
        <v>168</v>
      </c>
      <c r="J71" s="133">
        <v>1478.8959749999997</v>
      </c>
      <c r="K71" s="103" t="s">
        <v>35</v>
      </c>
      <c r="L71" s="109">
        <v>2900.0</v>
      </c>
      <c r="M71" s="108">
        <v>189.0</v>
      </c>
      <c r="N71" s="134">
        <f t="shared" si="8"/>
        <v>0.2446625</v>
      </c>
      <c r="O71" s="77"/>
      <c r="P71" s="135"/>
      <c r="Q71" s="135"/>
      <c r="R71" s="135"/>
      <c r="S71" s="135"/>
      <c r="T71" s="135"/>
      <c r="U71" s="135"/>
      <c r="V71" s="135"/>
      <c r="W71" s="135"/>
      <c r="X71" s="77"/>
      <c r="Y71" s="77"/>
      <c r="Z71" s="77"/>
    </row>
    <row r="72" ht="18.0" customHeight="1">
      <c r="A72" s="77"/>
      <c r="B72" s="129" t="s">
        <v>299</v>
      </c>
      <c r="C72" s="130" t="s">
        <v>299</v>
      </c>
      <c r="D72" s="103">
        <v>15.0</v>
      </c>
      <c r="E72" s="104">
        <v>20.0</v>
      </c>
      <c r="F72" s="104">
        <v>100.0</v>
      </c>
      <c r="G72" s="131">
        <v>33.0</v>
      </c>
      <c r="H72" s="104"/>
      <c r="I72" s="132" t="s">
        <v>168</v>
      </c>
      <c r="J72" s="133">
        <v>1483.0673699999998</v>
      </c>
      <c r="K72" s="103" t="s">
        <v>35</v>
      </c>
      <c r="L72" s="109">
        <v>2900.0</v>
      </c>
      <c r="M72" s="108">
        <v>194.0</v>
      </c>
      <c r="N72" s="134">
        <f t="shared" si="8"/>
        <v>0.2446625</v>
      </c>
      <c r="O72" s="77"/>
      <c r="P72" s="135"/>
      <c r="Q72" s="135"/>
      <c r="R72" s="135"/>
      <c r="S72" s="135"/>
      <c r="T72" s="135"/>
      <c r="U72" s="135"/>
      <c r="V72" s="135"/>
      <c r="W72" s="135"/>
      <c r="X72" s="77"/>
      <c r="Y72" s="77"/>
      <c r="Z72" s="77"/>
    </row>
    <row r="73" ht="18.0" customHeight="1">
      <c r="A73" s="77"/>
      <c r="B73" s="129" t="s">
        <v>300</v>
      </c>
      <c r="C73" s="130" t="s">
        <v>300</v>
      </c>
      <c r="D73" s="103">
        <v>18.5</v>
      </c>
      <c r="E73" s="104">
        <v>25.0</v>
      </c>
      <c r="F73" s="104">
        <v>100.0</v>
      </c>
      <c r="G73" s="131">
        <v>40.0</v>
      </c>
      <c r="H73" s="104"/>
      <c r="I73" s="132" t="s">
        <v>168</v>
      </c>
      <c r="J73" s="133">
        <v>1552.6555949999997</v>
      </c>
      <c r="K73" s="103" t="s">
        <v>35</v>
      </c>
      <c r="L73" s="109">
        <v>2900.0</v>
      </c>
      <c r="M73" s="108">
        <v>224.0</v>
      </c>
      <c r="N73" s="134">
        <f>0.985*0.575*0.46</f>
        <v>0.2605325</v>
      </c>
      <c r="O73" s="77"/>
      <c r="P73" s="135"/>
      <c r="Q73" s="135"/>
      <c r="R73" s="135"/>
      <c r="S73" s="135"/>
      <c r="T73" s="135"/>
      <c r="U73" s="135"/>
      <c r="V73" s="135"/>
      <c r="W73" s="135"/>
      <c r="X73" s="77"/>
      <c r="Y73" s="77"/>
      <c r="Z73" s="77"/>
    </row>
    <row r="74" ht="18.0" customHeight="1">
      <c r="A74" s="77"/>
      <c r="B74" s="129" t="s">
        <v>301</v>
      </c>
      <c r="C74" s="130" t="s">
        <v>301</v>
      </c>
      <c r="D74" s="103">
        <v>22.0</v>
      </c>
      <c r="E74" s="104">
        <v>30.0</v>
      </c>
      <c r="F74" s="104">
        <v>100.0</v>
      </c>
      <c r="G74" s="131">
        <v>48.0</v>
      </c>
      <c r="H74" s="104"/>
      <c r="I74" s="132" t="s">
        <v>168</v>
      </c>
      <c r="J74" s="133">
        <v>1857.1674299999997</v>
      </c>
      <c r="K74" s="103" t="s">
        <v>35</v>
      </c>
      <c r="L74" s="109">
        <v>2900.0</v>
      </c>
      <c r="M74" s="108">
        <v>260.0</v>
      </c>
      <c r="N74" s="134">
        <f>1.01*0.575*0.46</f>
        <v>0.267145</v>
      </c>
      <c r="O74" s="77"/>
      <c r="P74" s="135"/>
      <c r="Q74" s="135"/>
      <c r="R74" s="135"/>
      <c r="S74" s="135"/>
      <c r="T74" s="135"/>
      <c r="U74" s="135"/>
      <c r="V74" s="135"/>
      <c r="W74" s="135"/>
      <c r="X74" s="77"/>
      <c r="Y74" s="77"/>
      <c r="Z74" s="77"/>
    </row>
    <row r="75" ht="18.0" customHeight="1">
      <c r="A75" s="77"/>
      <c r="B75" s="129" t="s">
        <v>302</v>
      </c>
      <c r="C75" s="130" t="s">
        <v>302</v>
      </c>
      <c r="D75" s="103">
        <v>30.0</v>
      </c>
      <c r="E75" s="104">
        <v>40.0</v>
      </c>
      <c r="F75" s="104">
        <v>130.0</v>
      </c>
      <c r="G75" s="131">
        <v>52.0</v>
      </c>
      <c r="H75" s="104"/>
      <c r="I75" s="132" t="s">
        <v>168</v>
      </c>
      <c r="J75" s="133">
        <v>2405.2575449999995</v>
      </c>
      <c r="K75" s="103" t="s">
        <v>35</v>
      </c>
      <c r="L75" s="109">
        <v>2900.0</v>
      </c>
      <c r="M75" s="108">
        <v>318.0</v>
      </c>
      <c r="N75" s="134">
        <f>1.085*0.575*0.51</f>
        <v>0.31817625</v>
      </c>
      <c r="O75" s="77"/>
      <c r="P75" s="135"/>
      <c r="Q75" s="135"/>
      <c r="R75" s="135"/>
      <c r="S75" s="135"/>
      <c r="T75" s="135"/>
      <c r="U75" s="135"/>
      <c r="V75" s="135"/>
      <c r="W75" s="135"/>
      <c r="X75" s="77"/>
      <c r="Y75" s="77"/>
      <c r="Z75" s="77"/>
    </row>
    <row r="76" ht="18.0" customHeight="1">
      <c r="A76" s="77"/>
      <c r="B76" s="129" t="s">
        <v>303</v>
      </c>
      <c r="C76" s="139" t="s">
        <v>303</v>
      </c>
      <c r="D76" s="103">
        <v>5.5</v>
      </c>
      <c r="E76" s="104">
        <v>7.5</v>
      </c>
      <c r="F76" s="104">
        <v>120.0</v>
      </c>
      <c r="G76" s="131">
        <v>11.0</v>
      </c>
      <c r="H76" s="104"/>
      <c r="I76" s="132" t="s">
        <v>304</v>
      </c>
      <c r="J76" s="133">
        <v>1282.9183799999998</v>
      </c>
      <c r="K76" s="103" t="s">
        <v>35</v>
      </c>
      <c r="L76" s="109">
        <v>1450.0</v>
      </c>
      <c r="M76" s="108">
        <v>166.0</v>
      </c>
      <c r="N76" s="134">
        <f t="shared" ref="N76:N77" si="9">0.898*0.645*0.447</f>
        <v>0.25890687</v>
      </c>
      <c r="O76" s="77"/>
      <c r="P76" s="135"/>
      <c r="Q76" s="135"/>
      <c r="R76" s="135"/>
      <c r="S76" s="135"/>
      <c r="T76" s="135"/>
      <c r="U76" s="135"/>
      <c r="V76" s="135"/>
      <c r="W76" s="135"/>
      <c r="X76" s="77"/>
      <c r="Y76" s="77"/>
      <c r="Z76" s="77"/>
    </row>
    <row r="77" ht="18.0" customHeight="1">
      <c r="A77" s="77"/>
      <c r="B77" s="129" t="s">
        <v>305</v>
      </c>
      <c r="C77" s="139" t="s">
        <v>305</v>
      </c>
      <c r="D77" s="103">
        <v>7.5</v>
      </c>
      <c r="E77" s="104">
        <v>10.0</v>
      </c>
      <c r="F77" s="104">
        <v>120.0</v>
      </c>
      <c r="G77" s="131">
        <v>14.0</v>
      </c>
      <c r="H77" s="104"/>
      <c r="I77" s="132" t="s">
        <v>304</v>
      </c>
      <c r="J77" s="133">
        <v>1322.1762749999998</v>
      </c>
      <c r="K77" s="103" t="s">
        <v>35</v>
      </c>
      <c r="L77" s="109">
        <v>1450.0</v>
      </c>
      <c r="M77" s="108">
        <v>179.0</v>
      </c>
      <c r="N77" s="134">
        <f t="shared" si="9"/>
        <v>0.25890687</v>
      </c>
      <c r="O77" s="77"/>
      <c r="P77" s="135"/>
      <c r="Q77" s="135"/>
      <c r="R77" s="135"/>
      <c r="S77" s="135"/>
      <c r="T77" s="135"/>
      <c r="U77" s="135"/>
      <c r="V77" s="135"/>
      <c r="W77" s="135"/>
      <c r="X77" s="77"/>
      <c r="Y77" s="77"/>
      <c r="Z77" s="77"/>
    </row>
    <row r="78" ht="18.0" customHeight="1">
      <c r="A78" s="77"/>
      <c r="B78" s="129" t="s">
        <v>306</v>
      </c>
      <c r="C78" s="139" t="s">
        <v>306</v>
      </c>
      <c r="D78" s="103">
        <v>11.0</v>
      </c>
      <c r="E78" s="104">
        <v>15.0</v>
      </c>
      <c r="F78" s="104">
        <v>160.0</v>
      </c>
      <c r="G78" s="131">
        <v>18.0</v>
      </c>
      <c r="H78" s="104"/>
      <c r="I78" s="132" t="s">
        <v>304</v>
      </c>
      <c r="J78" s="133">
        <v>1905.0410099999997</v>
      </c>
      <c r="K78" s="103" t="s">
        <v>35</v>
      </c>
      <c r="L78" s="109">
        <v>1450.0</v>
      </c>
      <c r="M78" s="108">
        <v>257.0</v>
      </c>
      <c r="N78" s="134">
        <f>1.014*0.825*0.498</f>
        <v>0.4166019</v>
      </c>
      <c r="O78" s="77"/>
      <c r="P78" s="135"/>
      <c r="Q78" s="135"/>
      <c r="R78" s="135"/>
      <c r="S78" s="135"/>
      <c r="T78" s="135"/>
      <c r="U78" s="135"/>
      <c r="V78" s="135"/>
      <c r="W78" s="135"/>
      <c r="X78" s="77"/>
      <c r="Y78" s="77"/>
      <c r="Z78" s="77"/>
    </row>
    <row r="79" ht="18.0" customHeight="1">
      <c r="A79" s="77"/>
      <c r="B79" s="129" t="s">
        <v>307</v>
      </c>
      <c r="C79" s="139" t="s">
        <v>307</v>
      </c>
      <c r="D79" s="103">
        <v>11.0</v>
      </c>
      <c r="E79" s="104">
        <v>15.0</v>
      </c>
      <c r="F79" s="104">
        <v>120.0</v>
      </c>
      <c r="G79" s="131">
        <v>20.0</v>
      </c>
      <c r="H79" s="104"/>
      <c r="I79" s="132" t="s">
        <v>304</v>
      </c>
      <c r="J79" s="133">
        <v>2057.3164199999997</v>
      </c>
      <c r="K79" s="103" t="s">
        <v>35</v>
      </c>
      <c r="L79" s="109">
        <v>1450.0</v>
      </c>
      <c r="M79" s="108">
        <v>289.0</v>
      </c>
      <c r="N79" s="134">
        <f>1.037*0.825*0.554</f>
        <v>0.47396085</v>
      </c>
      <c r="O79" s="77"/>
      <c r="P79" s="135"/>
      <c r="Q79" s="135"/>
      <c r="R79" s="135"/>
      <c r="S79" s="135"/>
      <c r="T79" s="135"/>
      <c r="U79" s="135"/>
      <c r="V79" s="135"/>
      <c r="W79" s="135"/>
      <c r="X79" s="77"/>
      <c r="Y79" s="77"/>
      <c r="Z79" s="77"/>
    </row>
    <row r="80" ht="18.0" customHeight="1">
      <c r="A80" s="77"/>
      <c r="B80" s="129" t="s">
        <v>308</v>
      </c>
      <c r="C80" s="139" t="s">
        <v>308</v>
      </c>
      <c r="D80" s="103">
        <v>15.0</v>
      </c>
      <c r="E80" s="104">
        <v>20.0</v>
      </c>
      <c r="F80" s="104">
        <v>160.0</v>
      </c>
      <c r="G80" s="131">
        <v>22.0</v>
      </c>
      <c r="H80" s="104"/>
      <c r="I80" s="132" t="s">
        <v>304</v>
      </c>
      <c r="J80" s="133">
        <v>2157.234975</v>
      </c>
      <c r="K80" s="103" t="s">
        <v>35</v>
      </c>
      <c r="L80" s="109">
        <v>1450.0</v>
      </c>
      <c r="M80" s="108">
        <v>302.0</v>
      </c>
      <c r="N80" s="134">
        <f>1.072*0.825*0.554</f>
        <v>0.4899576</v>
      </c>
      <c r="O80" s="77"/>
      <c r="P80" s="135"/>
      <c r="Q80" s="135"/>
      <c r="R80" s="135"/>
      <c r="S80" s="135"/>
      <c r="T80" s="135"/>
      <c r="U80" s="135"/>
      <c r="V80" s="135"/>
      <c r="W80" s="135"/>
      <c r="X80" s="77"/>
      <c r="Y80" s="77"/>
      <c r="Z80" s="77"/>
    </row>
    <row r="81" ht="18.0" customHeight="1">
      <c r="A81" s="77"/>
      <c r="B81" s="129" t="s">
        <v>309</v>
      </c>
      <c r="C81" s="139" t="s">
        <v>309</v>
      </c>
      <c r="D81" s="103">
        <v>18.5</v>
      </c>
      <c r="E81" s="104">
        <v>25.0</v>
      </c>
      <c r="F81" s="104">
        <v>160.0</v>
      </c>
      <c r="G81" s="131">
        <v>28.0</v>
      </c>
      <c r="H81" s="104"/>
      <c r="I81" s="132" t="s">
        <v>304</v>
      </c>
      <c r="J81" s="133">
        <v>2444.20356</v>
      </c>
      <c r="K81" s="103" t="s">
        <v>35</v>
      </c>
      <c r="L81" s="109">
        <v>1450.0</v>
      </c>
      <c r="M81" s="108">
        <v>321.0</v>
      </c>
      <c r="N81" s="134">
        <f>1.109*0.825*0.554</f>
        <v>0.50686845</v>
      </c>
      <c r="O81" s="77"/>
      <c r="P81" s="135"/>
      <c r="Q81" s="135"/>
      <c r="R81" s="135"/>
      <c r="S81" s="135"/>
      <c r="T81" s="135"/>
      <c r="U81" s="135"/>
      <c r="V81" s="135"/>
      <c r="W81" s="135"/>
      <c r="X81" s="77"/>
      <c r="Y81" s="77"/>
      <c r="Z81" s="77"/>
    </row>
    <row r="82" ht="18.0" customHeight="1">
      <c r="A82" s="77"/>
      <c r="B82" s="129" t="s">
        <v>310</v>
      </c>
      <c r="C82" s="139" t="s">
        <v>310</v>
      </c>
      <c r="D82" s="103">
        <v>22.0</v>
      </c>
      <c r="E82" s="104">
        <v>30.0</v>
      </c>
      <c r="F82" s="104">
        <v>160.0</v>
      </c>
      <c r="G82" s="131">
        <v>32.0</v>
      </c>
      <c r="H82" s="104"/>
      <c r="I82" s="132" t="s">
        <v>304</v>
      </c>
      <c r="J82" s="133">
        <v>2535.5064299999995</v>
      </c>
      <c r="K82" s="103" t="s">
        <v>35</v>
      </c>
      <c r="L82" s="109">
        <v>1450.0</v>
      </c>
      <c r="M82" s="108">
        <v>356.0</v>
      </c>
      <c r="N82" s="134">
        <f>1.147*0.825*0.554</f>
        <v>0.52423635</v>
      </c>
      <c r="O82" s="77"/>
      <c r="P82" s="135"/>
      <c r="Q82" s="135"/>
      <c r="R82" s="135"/>
      <c r="S82" s="135"/>
      <c r="T82" s="135"/>
      <c r="U82" s="135"/>
      <c r="V82" s="135"/>
      <c r="W82" s="135"/>
      <c r="X82" s="77"/>
      <c r="Y82" s="77"/>
      <c r="Z82" s="77"/>
    </row>
    <row r="83" ht="18.0" customHeight="1">
      <c r="A83" s="77"/>
      <c r="B83" s="129" t="s">
        <v>311</v>
      </c>
      <c r="C83" s="139" t="s">
        <v>311</v>
      </c>
      <c r="D83" s="103">
        <v>30.0</v>
      </c>
      <c r="E83" s="104">
        <v>40.0</v>
      </c>
      <c r="F83" s="104">
        <v>160.0</v>
      </c>
      <c r="G83" s="131">
        <v>40.0</v>
      </c>
      <c r="H83" s="104"/>
      <c r="I83" s="132" t="s">
        <v>304</v>
      </c>
      <c r="J83" s="133">
        <v>3079.4251499999996</v>
      </c>
      <c r="K83" s="103" t="s">
        <v>35</v>
      </c>
      <c r="L83" s="109">
        <v>1450.0</v>
      </c>
      <c r="M83" s="108">
        <v>442.0</v>
      </c>
      <c r="N83" s="134">
        <f>1.204*0.825*0.63</f>
        <v>0.625779</v>
      </c>
      <c r="O83" s="77"/>
      <c r="P83" s="135"/>
      <c r="Q83" s="135"/>
      <c r="R83" s="135"/>
      <c r="S83" s="135"/>
      <c r="T83" s="135"/>
      <c r="U83" s="135"/>
      <c r="V83" s="135"/>
      <c r="W83" s="135"/>
      <c r="X83" s="77"/>
      <c r="Y83" s="77"/>
      <c r="Z83" s="77"/>
    </row>
    <row r="84" ht="18.0" customHeight="1">
      <c r="A84" s="77"/>
      <c r="B84" s="129" t="s">
        <v>312</v>
      </c>
      <c r="C84" s="139" t="s">
        <v>312</v>
      </c>
      <c r="D84" s="103">
        <v>37.0</v>
      </c>
      <c r="E84" s="104">
        <v>50.0</v>
      </c>
      <c r="F84" s="104">
        <v>160.0</v>
      </c>
      <c r="G84" s="131">
        <v>48.0</v>
      </c>
      <c r="H84" s="104"/>
      <c r="I84" s="132" t="s">
        <v>304</v>
      </c>
      <c r="J84" s="133">
        <v>3609.9720149999994</v>
      </c>
      <c r="K84" s="103" t="s">
        <v>35</v>
      </c>
      <c r="L84" s="109">
        <v>1450.0</v>
      </c>
      <c r="M84" s="108">
        <v>498.0</v>
      </c>
      <c r="N84" s="134">
        <f>1.229*0.825*0.63</f>
        <v>0.63877275</v>
      </c>
      <c r="O84" s="77"/>
      <c r="P84" s="135"/>
      <c r="Q84" s="135"/>
      <c r="R84" s="135"/>
      <c r="S84" s="135"/>
      <c r="T84" s="135"/>
      <c r="U84" s="135"/>
      <c r="V84" s="135"/>
      <c r="W84" s="135"/>
      <c r="X84" s="77"/>
      <c r="Y84" s="77"/>
      <c r="Z84" s="77"/>
    </row>
    <row r="85" ht="18.0" customHeight="1">
      <c r="A85" s="77"/>
      <c r="B85" s="136" t="s">
        <v>313</v>
      </c>
      <c r="C85" s="129" t="s">
        <v>313</v>
      </c>
      <c r="D85" s="103">
        <v>45.0</v>
      </c>
      <c r="E85" s="104">
        <v>60.0</v>
      </c>
      <c r="F85" s="104">
        <v>160.0</v>
      </c>
      <c r="G85" s="131">
        <v>50.0</v>
      </c>
      <c r="H85" s="104"/>
      <c r="I85" s="132" t="s">
        <v>304</v>
      </c>
      <c r="J85" s="71" t="s">
        <v>80</v>
      </c>
      <c r="K85" s="103" t="s">
        <v>35</v>
      </c>
      <c r="L85" s="109">
        <v>1450.0</v>
      </c>
      <c r="M85" s="108">
        <v>505.0</v>
      </c>
      <c r="N85" s="134">
        <f>1.336*0.825*0.63</f>
        <v>0.694386</v>
      </c>
      <c r="O85" s="77"/>
      <c r="P85" s="135"/>
      <c r="Q85" s="135"/>
      <c r="R85" s="135"/>
      <c r="S85" s="135"/>
      <c r="T85" s="135"/>
      <c r="U85" s="135"/>
      <c r="V85" s="135"/>
      <c r="W85" s="135"/>
      <c r="X85" s="77"/>
      <c r="Y85" s="77"/>
      <c r="Z85" s="77"/>
    </row>
    <row r="86" ht="18.0" customHeight="1">
      <c r="A86" s="77"/>
      <c r="B86" s="129" t="s">
        <v>314</v>
      </c>
      <c r="C86" s="129" t="s">
        <v>314</v>
      </c>
      <c r="D86" s="103">
        <v>11.0</v>
      </c>
      <c r="E86" s="104">
        <v>15.0</v>
      </c>
      <c r="F86" s="104">
        <v>200.0</v>
      </c>
      <c r="G86" s="131">
        <v>12.5</v>
      </c>
      <c r="H86" s="104"/>
      <c r="I86" s="132" t="s">
        <v>315</v>
      </c>
      <c r="J86" s="133">
        <v>1987.7281949999997</v>
      </c>
      <c r="K86" s="103" t="s">
        <v>35</v>
      </c>
      <c r="L86" s="109">
        <v>1450.0</v>
      </c>
      <c r="M86" s="108">
        <v>275.0</v>
      </c>
      <c r="N86" s="134">
        <f>1.028*0.825*0.507</f>
        <v>0.4299867</v>
      </c>
      <c r="O86" s="77"/>
      <c r="P86" s="135"/>
      <c r="Q86" s="135"/>
      <c r="R86" s="135"/>
      <c r="S86" s="135"/>
      <c r="T86" s="135"/>
      <c r="U86" s="135"/>
      <c r="V86" s="135"/>
      <c r="W86" s="135"/>
      <c r="X86" s="77"/>
      <c r="Y86" s="77"/>
      <c r="Z86" s="77"/>
    </row>
    <row r="87" ht="18.0" customHeight="1">
      <c r="A87" s="77"/>
      <c r="B87" s="136" t="s">
        <v>316</v>
      </c>
      <c r="C87" s="129" t="s">
        <v>316</v>
      </c>
      <c r="D87" s="103">
        <v>11.0</v>
      </c>
      <c r="E87" s="104">
        <v>15.0</v>
      </c>
      <c r="F87" s="104">
        <v>200.0</v>
      </c>
      <c r="G87" s="131">
        <v>15.0</v>
      </c>
      <c r="H87" s="104"/>
      <c r="I87" s="132" t="s">
        <v>315</v>
      </c>
      <c r="J87" s="133">
        <v>2070.376395</v>
      </c>
      <c r="K87" s="103" t="s">
        <v>35</v>
      </c>
      <c r="L87" s="109">
        <v>1450.0</v>
      </c>
      <c r="M87" s="108">
        <v>277.0</v>
      </c>
      <c r="N87" s="134">
        <f>1.047*0.825*0.507</f>
        <v>0.437933925</v>
      </c>
      <c r="O87" s="77"/>
      <c r="P87" s="135"/>
      <c r="Q87" s="135"/>
      <c r="R87" s="135"/>
      <c r="S87" s="135"/>
      <c r="T87" s="135"/>
      <c r="U87" s="135"/>
      <c r="V87" s="135"/>
      <c r="W87" s="135"/>
      <c r="X87" s="77"/>
      <c r="Y87" s="77"/>
      <c r="Z87" s="77"/>
    </row>
    <row r="88" ht="18.0" customHeight="1">
      <c r="A88" s="77"/>
      <c r="B88" s="129" t="s">
        <v>317</v>
      </c>
      <c r="C88" s="129" t="s">
        <v>317</v>
      </c>
      <c r="D88" s="103">
        <v>15.0</v>
      </c>
      <c r="E88" s="104">
        <v>20.0</v>
      </c>
      <c r="F88" s="104">
        <v>200.0</v>
      </c>
      <c r="G88" s="131">
        <v>17.0</v>
      </c>
      <c r="H88" s="104"/>
      <c r="I88" s="132" t="s">
        <v>315</v>
      </c>
      <c r="J88" s="133">
        <v>2109.361395</v>
      </c>
      <c r="K88" s="103" t="s">
        <v>35</v>
      </c>
      <c r="L88" s="109">
        <v>1450.0</v>
      </c>
      <c r="M88" s="108">
        <v>278.0</v>
      </c>
      <c r="N88" s="134">
        <f>1.07*0.825*0.507</f>
        <v>0.44755425</v>
      </c>
      <c r="O88" s="77"/>
      <c r="P88" s="135"/>
      <c r="Q88" s="135"/>
      <c r="R88" s="135"/>
      <c r="S88" s="135"/>
      <c r="T88" s="135"/>
      <c r="U88" s="135"/>
      <c r="V88" s="135"/>
      <c r="W88" s="135"/>
      <c r="X88" s="77"/>
      <c r="Y88" s="77"/>
      <c r="Z88" s="77"/>
    </row>
    <row r="89" ht="18.0" customHeight="1">
      <c r="A89" s="77"/>
      <c r="B89" s="136" t="s">
        <v>318</v>
      </c>
      <c r="C89" s="129" t="s">
        <v>318</v>
      </c>
      <c r="D89" s="103">
        <v>15.0</v>
      </c>
      <c r="E89" s="104">
        <v>20.0</v>
      </c>
      <c r="F89" s="104">
        <v>200.0</v>
      </c>
      <c r="G89" s="131">
        <v>18.0</v>
      </c>
      <c r="H89" s="104"/>
      <c r="I89" s="132" t="s">
        <v>315</v>
      </c>
      <c r="J89" s="133">
        <v>2178.94962</v>
      </c>
      <c r="K89" s="103" t="s">
        <v>35</v>
      </c>
      <c r="L89" s="109">
        <v>1450.0</v>
      </c>
      <c r="M89" s="108">
        <v>285.0</v>
      </c>
      <c r="N89" s="134">
        <f>1.09*0.825*0.507</f>
        <v>0.45591975</v>
      </c>
      <c r="O89" s="77"/>
      <c r="P89" s="135"/>
      <c r="Q89" s="135"/>
      <c r="R89" s="135"/>
      <c r="S89" s="135"/>
      <c r="T89" s="135"/>
      <c r="U89" s="135"/>
      <c r="V89" s="135"/>
      <c r="W89" s="135"/>
      <c r="X89" s="77"/>
      <c r="Y89" s="77"/>
      <c r="Z89" s="77"/>
    </row>
    <row r="90" ht="18.0" customHeight="1">
      <c r="A90" s="77"/>
      <c r="B90" s="136" t="s">
        <v>319</v>
      </c>
      <c r="C90" s="129" t="s">
        <v>319</v>
      </c>
      <c r="D90" s="103">
        <v>18.5</v>
      </c>
      <c r="E90" s="104">
        <v>25.0</v>
      </c>
      <c r="F90" s="104">
        <v>220.0</v>
      </c>
      <c r="G90" s="131">
        <v>20.0</v>
      </c>
      <c r="H90" s="104"/>
      <c r="I90" s="132" t="s">
        <v>315</v>
      </c>
      <c r="J90" s="133">
        <v>2483.4614549999997</v>
      </c>
      <c r="K90" s="103" t="s">
        <v>35</v>
      </c>
      <c r="L90" s="109">
        <v>1450.0</v>
      </c>
      <c r="M90" s="108">
        <v>300.0</v>
      </c>
      <c r="N90" s="134">
        <f>1.104*0.825*0.507</f>
        <v>0.4617756</v>
      </c>
      <c r="O90" s="77"/>
      <c r="P90" s="135"/>
      <c r="Q90" s="135"/>
      <c r="R90" s="135"/>
      <c r="S90" s="135"/>
      <c r="T90" s="135"/>
      <c r="U90" s="135"/>
      <c r="V90" s="135"/>
      <c r="W90" s="135"/>
      <c r="X90" s="77"/>
      <c r="Y90" s="77"/>
      <c r="Z90" s="77"/>
    </row>
    <row r="91" ht="18.0" customHeight="1">
      <c r="A91" s="77"/>
      <c r="B91" s="129" t="s">
        <v>320</v>
      </c>
      <c r="C91" s="139" t="s">
        <v>320</v>
      </c>
      <c r="D91" s="103">
        <v>18.5</v>
      </c>
      <c r="E91" s="104">
        <v>25.0</v>
      </c>
      <c r="F91" s="104">
        <v>200.0</v>
      </c>
      <c r="G91" s="131">
        <v>21.0</v>
      </c>
      <c r="H91" s="104"/>
      <c r="I91" s="132" t="s">
        <v>315</v>
      </c>
      <c r="J91" s="133">
        <v>2440.0321649999996</v>
      </c>
      <c r="K91" s="103" t="s">
        <v>35</v>
      </c>
      <c r="L91" s="109">
        <v>1450.0</v>
      </c>
      <c r="M91" s="108">
        <v>313.0</v>
      </c>
      <c r="N91" s="134">
        <f>1.107*0.825*0.507</f>
        <v>0.463030425</v>
      </c>
      <c r="O91" s="77"/>
      <c r="P91" s="135"/>
      <c r="Q91" s="135"/>
      <c r="R91" s="135"/>
      <c r="S91" s="135"/>
      <c r="T91" s="135"/>
      <c r="U91" s="135"/>
      <c r="V91" s="135"/>
      <c r="W91" s="135"/>
      <c r="X91" s="77"/>
      <c r="Y91" s="77"/>
      <c r="Z91" s="77"/>
    </row>
    <row r="92" ht="18.0" customHeight="1">
      <c r="A92" s="77"/>
      <c r="B92" s="129" t="s">
        <v>321</v>
      </c>
      <c r="C92" s="139" t="s">
        <v>321</v>
      </c>
      <c r="D92" s="103">
        <v>22.0</v>
      </c>
      <c r="E92" s="104">
        <v>30.0</v>
      </c>
      <c r="F92" s="104">
        <v>200.0</v>
      </c>
      <c r="G92" s="131">
        <v>25.0</v>
      </c>
      <c r="H92" s="104"/>
      <c r="I92" s="132" t="s">
        <v>315</v>
      </c>
      <c r="J92" s="133">
        <v>2587.8632849999995</v>
      </c>
      <c r="K92" s="103" t="s">
        <v>35</v>
      </c>
      <c r="L92" s="109">
        <v>1450.0</v>
      </c>
      <c r="M92" s="108">
        <v>354.0</v>
      </c>
      <c r="N92" s="134">
        <f>1.124*0.825*0.556</f>
        <v>0.5155788</v>
      </c>
      <c r="O92" s="77"/>
      <c r="P92" s="135"/>
      <c r="Q92" s="135"/>
      <c r="R92" s="135"/>
      <c r="S92" s="135"/>
      <c r="T92" s="135"/>
      <c r="U92" s="135"/>
      <c r="V92" s="135"/>
      <c r="W92" s="135"/>
      <c r="X92" s="77"/>
      <c r="Y92" s="77"/>
      <c r="Z92" s="77"/>
    </row>
    <row r="93" ht="18.0" customHeight="1">
      <c r="A93" s="77"/>
      <c r="B93" s="129" t="s">
        <v>322</v>
      </c>
      <c r="C93" s="139" t="s">
        <v>322</v>
      </c>
      <c r="D93" s="103">
        <v>30.0</v>
      </c>
      <c r="E93" s="104">
        <v>40.0</v>
      </c>
      <c r="F93" s="104">
        <v>200.0</v>
      </c>
      <c r="G93" s="131">
        <v>33.0</v>
      </c>
      <c r="H93" s="104"/>
      <c r="I93" s="132" t="s">
        <v>315</v>
      </c>
      <c r="J93" s="133">
        <v>3166.283729999999</v>
      </c>
      <c r="K93" s="103" t="s">
        <v>35</v>
      </c>
      <c r="L93" s="109">
        <v>1450.0</v>
      </c>
      <c r="M93" s="108">
        <v>406.0</v>
      </c>
      <c r="N93" s="134">
        <f>1.158*0.825*0.556</f>
        <v>0.5311746</v>
      </c>
      <c r="O93" s="77"/>
      <c r="P93" s="135"/>
      <c r="Q93" s="135"/>
      <c r="R93" s="135"/>
      <c r="S93" s="135"/>
      <c r="T93" s="135"/>
      <c r="U93" s="135"/>
      <c r="V93" s="135"/>
      <c r="W93" s="135"/>
      <c r="X93" s="77"/>
      <c r="Y93" s="77"/>
      <c r="Z93" s="77"/>
    </row>
    <row r="94" ht="18.0" customHeight="1">
      <c r="A94" s="77"/>
      <c r="B94" s="129" t="s">
        <v>323</v>
      </c>
      <c r="C94" s="139" t="s">
        <v>323</v>
      </c>
      <c r="D94" s="103">
        <v>37.0</v>
      </c>
      <c r="E94" s="104">
        <v>50.0</v>
      </c>
      <c r="F94" s="104">
        <v>200.0</v>
      </c>
      <c r="G94" s="131">
        <v>40.0</v>
      </c>
      <c r="H94" s="104"/>
      <c r="I94" s="132" t="s">
        <v>315</v>
      </c>
      <c r="J94" s="133">
        <v>3679.5602399999993</v>
      </c>
      <c r="K94" s="103" t="s">
        <v>35</v>
      </c>
      <c r="L94" s="109">
        <v>1450.0</v>
      </c>
      <c r="M94" s="108">
        <v>511.0</v>
      </c>
      <c r="N94" s="134">
        <f>1.217*0.925*0.625</f>
        <v>0.703578125</v>
      </c>
      <c r="O94" s="77"/>
      <c r="P94" s="135"/>
      <c r="Q94" s="135"/>
      <c r="R94" s="135"/>
      <c r="S94" s="135"/>
      <c r="T94" s="135"/>
      <c r="U94" s="135"/>
      <c r="V94" s="135"/>
      <c r="W94" s="135"/>
      <c r="X94" s="77"/>
      <c r="Y94" s="77"/>
      <c r="Z94" s="77"/>
    </row>
    <row r="95" ht="18.0" customHeight="1">
      <c r="A95" s="77"/>
      <c r="B95" s="129" t="s">
        <v>324</v>
      </c>
      <c r="C95" s="139" t="s">
        <v>324</v>
      </c>
      <c r="D95" s="103">
        <v>45.0</v>
      </c>
      <c r="E95" s="104">
        <v>60.0</v>
      </c>
      <c r="F95" s="104">
        <v>200.0</v>
      </c>
      <c r="G95" s="131">
        <v>50.0</v>
      </c>
      <c r="H95" s="104"/>
      <c r="I95" s="132" t="s">
        <v>315</v>
      </c>
      <c r="J95" s="71" t="s">
        <v>80</v>
      </c>
      <c r="K95" s="103" t="s">
        <v>35</v>
      </c>
      <c r="L95" s="109">
        <v>1450.0</v>
      </c>
      <c r="M95" s="108">
        <v>548.0</v>
      </c>
      <c r="N95" s="134">
        <f>1.24*0.925*0.625</f>
        <v>0.716875</v>
      </c>
      <c r="O95" s="77"/>
      <c r="P95" s="135"/>
      <c r="Q95" s="135"/>
      <c r="R95" s="135"/>
      <c r="S95" s="135"/>
      <c r="T95" s="135"/>
      <c r="U95" s="135"/>
      <c r="V95" s="135"/>
      <c r="W95" s="135"/>
      <c r="X95" s="77"/>
      <c r="Y95" s="77"/>
      <c r="Z95" s="77"/>
    </row>
    <row r="96" ht="18.0" customHeight="1">
      <c r="A96" s="77"/>
      <c r="B96" s="129" t="s">
        <v>325</v>
      </c>
      <c r="C96" s="139" t="s">
        <v>325</v>
      </c>
      <c r="D96" s="103">
        <v>22.0</v>
      </c>
      <c r="E96" s="104">
        <v>30.0</v>
      </c>
      <c r="F96" s="104">
        <v>400.0</v>
      </c>
      <c r="G96" s="131">
        <v>12.5</v>
      </c>
      <c r="H96" s="104"/>
      <c r="I96" s="132" t="s">
        <v>326</v>
      </c>
      <c r="J96" s="133">
        <v>3396.724064999999</v>
      </c>
      <c r="K96" s="103" t="s">
        <v>35</v>
      </c>
      <c r="L96" s="109">
        <v>1450.0</v>
      </c>
      <c r="M96" s="108">
        <v>432.0</v>
      </c>
      <c r="N96" s="134">
        <f>1.325*1.025*0.607</f>
        <v>0.824381875</v>
      </c>
      <c r="O96" s="77"/>
      <c r="P96" s="135"/>
      <c r="Q96" s="135"/>
      <c r="R96" s="135"/>
      <c r="S96" s="135"/>
      <c r="T96" s="135"/>
      <c r="U96" s="135"/>
      <c r="V96" s="135"/>
      <c r="W96" s="135"/>
      <c r="X96" s="77"/>
      <c r="Y96" s="77"/>
      <c r="Z96" s="77"/>
    </row>
    <row r="97" ht="18.0" customHeight="1">
      <c r="A97" s="77"/>
      <c r="B97" s="129" t="s">
        <v>327</v>
      </c>
      <c r="C97" s="139" t="s">
        <v>327</v>
      </c>
      <c r="D97" s="103">
        <v>18.5</v>
      </c>
      <c r="E97" s="104">
        <v>25.0</v>
      </c>
      <c r="F97" s="104">
        <v>300.0</v>
      </c>
      <c r="G97" s="131">
        <v>15.0</v>
      </c>
      <c r="H97" s="104"/>
      <c r="I97" s="132" t="s">
        <v>326</v>
      </c>
      <c r="J97" s="133">
        <v>3344.679089999999</v>
      </c>
      <c r="K97" s="103" t="s">
        <v>35</v>
      </c>
      <c r="L97" s="109">
        <v>1450.0</v>
      </c>
      <c r="M97" s="108">
        <v>418.0</v>
      </c>
      <c r="N97" s="134">
        <f>1.287*1.025*0.607</f>
        <v>0.800739225</v>
      </c>
      <c r="O97" s="77"/>
      <c r="P97" s="135"/>
      <c r="Q97" s="135"/>
      <c r="R97" s="135"/>
      <c r="S97" s="135"/>
      <c r="T97" s="135"/>
      <c r="U97" s="135"/>
      <c r="V97" s="135"/>
      <c r="W97" s="135"/>
      <c r="X97" s="77"/>
      <c r="Y97" s="77"/>
      <c r="Z97" s="77"/>
    </row>
    <row r="98" ht="18.0" customHeight="1">
      <c r="A98" s="77"/>
      <c r="B98" s="129" t="s">
        <v>328</v>
      </c>
      <c r="C98" s="139" t="s">
        <v>328</v>
      </c>
      <c r="D98" s="103">
        <v>22.0</v>
      </c>
      <c r="E98" s="104">
        <v>30.0</v>
      </c>
      <c r="F98" s="104">
        <v>300.0</v>
      </c>
      <c r="G98" s="131">
        <v>18.0</v>
      </c>
      <c r="H98" s="104"/>
      <c r="I98" s="132" t="s">
        <v>326</v>
      </c>
      <c r="J98" s="133">
        <v>3361.9494449999997</v>
      </c>
      <c r="K98" s="103" t="s">
        <v>35</v>
      </c>
      <c r="L98" s="109">
        <v>1450.0</v>
      </c>
      <c r="M98" s="108">
        <v>435.0</v>
      </c>
      <c r="N98" s="134">
        <f>1.325*1.025*0.607</f>
        <v>0.824381875</v>
      </c>
      <c r="O98" s="77"/>
      <c r="P98" s="135"/>
      <c r="Q98" s="135"/>
      <c r="R98" s="135"/>
      <c r="S98" s="135"/>
      <c r="T98" s="135"/>
      <c r="U98" s="135"/>
      <c r="V98" s="135"/>
      <c r="W98" s="135"/>
      <c r="X98" s="77"/>
      <c r="Y98" s="77"/>
      <c r="Z98" s="77"/>
    </row>
    <row r="99" ht="18.0" customHeight="1">
      <c r="A99" s="77"/>
      <c r="B99" s="129" t="s">
        <v>329</v>
      </c>
      <c r="C99" s="139" t="s">
        <v>329</v>
      </c>
      <c r="D99" s="103">
        <v>30.0</v>
      </c>
      <c r="E99" s="104">
        <v>40.0</v>
      </c>
      <c r="F99" s="104">
        <v>400.0</v>
      </c>
      <c r="G99" s="131">
        <v>20.0</v>
      </c>
      <c r="H99" s="104"/>
      <c r="I99" s="132" t="s">
        <v>326</v>
      </c>
      <c r="J99" s="133">
        <v>3966.5288249999994</v>
      </c>
      <c r="K99" s="103" t="s">
        <v>35</v>
      </c>
      <c r="L99" s="109">
        <v>1450.0</v>
      </c>
      <c r="M99" s="108">
        <v>492.0</v>
      </c>
      <c r="N99" s="134">
        <f>1.359*1.025*0.607</f>
        <v>0.845535825</v>
      </c>
      <c r="O99" s="77"/>
      <c r="P99" s="135"/>
      <c r="Q99" s="135"/>
      <c r="R99" s="135"/>
      <c r="S99" s="135"/>
      <c r="T99" s="135"/>
      <c r="U99" s="135"/>
      <c r="V99" s="135"/>
      <c r="W99" s="135"/>
      <c r="X99" s="77"/>
      <c r="Y99" s="77"/>
      <c r="Z99" s="77"/>
    </row>
    <row r="100" ht="18.0" customHeight="1">
      <c r="A100" s="77"/>
      <c r="B100" s="129" t="s">
        <v>330</v>
      </c>
      <c r="C100" s="139" t="s">
        <v>330</v>
      </c>
      <c r="D100" s="103">
        <v>37.0</v>
      </c>
      <c r="E100" s="104">
        <v>50.0</v>
      </c>
      <c r="F100" s="104">
        <v>400.0</v>
      </c>
      <c r="G100" s="131">
        <v>23.0</v>
      </c>
      <c r="H100" s="104"/>
      <c r="I100" s="132" t="s">
        <v>326</v>
      </c>
      <c r="J100" s="133">
        <v>4588.378559999999</v>
      </c>
      <c r="K100" s="103" t="s">
        <v>35</v>
      </c>
      <c r="L100" s="109">
        <v>1450.0</v>
      </c>
      <c r="M100" s="108">
        <v>602.0</v>
      </c>
      <c r="N100" s="134">
        <f>1.414*1.125*0.665</f>
        <v>1.05784875</v>
      </c>
      <c r="O100" s="77"/>
      <c r="P100" s="135"/>
      <c r="Q100" s="135"/>
      <c r="R100" s="135"/>
      <c r="S100" s="135"/>
      <c r="T100" s="135"/>
      <c r="U100" s="135"/>
      <c r="V100" s="135"/>
      <c r="W100" s="135"/>
      <c r="X100" s="77"/>
      <c r="Y100" s="77"/>
      <c r="Z100" s="77"/>
    </row>
    <row r="101" ht="18.0" customHeight="1">
      <c r="A101" s="77"/>
      <c r="B101" s="129" t="s">
        <v>331</v>
      </c>
      <c r="C101" s="139" t="s">
        <v>331</v>
      </c>
      <c r="D101" s="103">
        <v>30.0</v>
      </c>
      <c r="E101" s="104">
        <v>40.0</v>
      </c>
      <c r="F101" s="104">
        <v>300.0</v>
      </c>
      <c r="G101" s="131">
        <v>24.0</v>
      </c>
      <c r="H101" s="104"/>
      <c r="I101" s="132" t="s">
        <v>326</v>
      </c>
      <c r="J101" s="133">
        <v>4218.72279</v>
      </c>
      <c r="K101" s="103" t="s">
        <v>35</v>
      </c>
      <c r="L101" s="109">
        <v>1450.0</v>
      </c>
      <c r="M101" s="108">
        <v>537.0</v>
      </c>
      <c r="N101" s="134">
        <f>1.359*1.125*0.665</f>
        <v>1.016701875</v>
      </c>
      <c r="O101" s="77"/>
      <c r="P101" s="135"/>
      <c r="Q101" s="135"/>
      <c r="R101" s="135"/>
      <c r="S101" s="135"/>
      <c r="T101" s="135"/>
      <c r="U101" s="135"/>
      <c r="V101" s="135"/>
      <c r="W101" s="135"/>
      <c r="X101" s="77"/>
      <c r="Y101" s="77"/>
      <c r="Z101" s="77"/>
    </row>
    <row r="102" ht="18.0" customHeight="1">
      <c r="A102" s="77"/>
      <c r="B102" s="129" t="s">
        <v>332</v>
      </c>
      <c r="C102" s="139" t="s">
        <v>332</v>
      </c>
      <c r="D102" s="103">
        <v>45.0</v>
      </c>
      <c r="E102" s="104">
        <v>60.0</v>
      </c>
      <c r="F102" s="104">
        <v>400.0</v>
      </c>
      <c r="G102" s="131">
        <v>27.0</v>
      </c>
      <c r="H102" s="104"/>
      <c r="I102" s="132" t="s">
        <v>326</v>
      </c>
      <c r="J102" s="71" t="s">
        <v>80</v>
      </c>
      <c r="K102" s="103" t="s">
        <v>35</v>
      </c>
      <c r="L102" s="109">
        <v>1450.0</v>
      </c>
      <c r="M102" s="108">
        <v>638.0</v>
      </c>
      <c r="N102" s="134">
        <f>1.437*1.125*0.665</f>
        <v>1.075055625</v>
      </c>
      <c r="O102" s="77"/>
      <c r="P102" s="135"/>
      <c r="Q102" s="135"/>
      <c r="R102" s="135"/>
      <c r="S102" s="135"/>
      <c r="T102" s="135"/>
      <c r="U102" s="135"/>
      <c r="V102" s="135"/>
      <c r="W102" s="135"/>
      <c r="X102" s="77"/>
      <c r="Y102" s="77"/>
      <c r="Z102" s="77"/>
    </row>
    <row r="103" ht="18.0" customHeight="1">
      <c r="A103" s="77"/>
      <c r="B103" s="136" t="s">
        <v>333</v>
      </c>
      <c r="C103" s="139" t="s">
        <v>334</v>
      </c>
      <c r="D103" s="103">
        <v>37.0</v>
      </c>
      <c r="E103" s="104">
        <v>50.0</v>
      </c>
      <c r="F103" s="104">
        <v>300.0</v>
      </c>
      <c r="G103" s="131">
        <v>30.0</v>
      </c>
      <c r="H103" s="104">
        <v>31.0</v>
      </c>
      <c r="I103" s="132" t="s">
        <v>326</v>
      </c>
      <c r="J103" s="133">
        <v>4588.378559999999</v>
      </c>
      <c r="K103" s="103" t="s">
        <v>35</v>
      </c>
      <c r="L103" s="109">
        <v>1450.0</v>
      </c>
      <c r="M103" s="108">
        <v>603.0</v>
      </c>
      <c r="N103" s="134">
        <f>1.414*1.125*0.665</f>
        <v>1.05784875</v>
      </c>
      <c r="O103" s="77"/>
      <c r="P103" s="135"/>
      <c r="Q103" s="135"/>
      <c r="R103" s="135"/>
      <c r="S103" s="135"/>
      <c r="T103" s="135"/>
      <c r="U103" s="135"/>
      <c r="V103" s="135"/>
      <c r="W103" s="135"/>
      <c r="X103" s="77"/>
      <c r="Y103" s="77"/>
      <c r="Z103" s="77"/>
    </row>
    <row r="104" ht="18.0" customHeight="1">
      <c r="A104" s="77"/>
      <c r="B104" s="129" t="s">
        <v>335</v>
      </c>
      <c r="C104" s="129" t="s">
        <v>335</v>
      </c>
      <c r="D104" s="103">
        <v>55.0</v>
      </c>
      <c r="E104" s="104">
        <v>75.0</v>
      </c>
      <c r="F104" s="104">
        <v>400.0</v>
      </c>
      <c r="G104" s="131">
        <v>32.0</v>
      </c>
      <c r="H104" s="104"/>
      <c r="I104" s="132" t="s">
        <v>326</v>
      </c>
      <c r="J104" s="71" t="s">
        <v>80</v>
      </c>
      <c r="K104" s="103" t="s">
        <v>35</v>
      </c>
      <c r="L104" s="109">
        <v>1450.0</v>
      </c>
      <c r="M104" s="108">
        <v>710.0</v>
      </c>
      <c r="N104" s="134">
        <f>1.513*1.125*0.665</f>
        <v>1.131913125</v>
      </c>
      <c r="O104" s="77"/>
      <c r="P104" s="135"/>
      <c r="Q104" s="135"/>
      <c r="R104" s="135"/>
      <c r="S104" s="135"/>
      <c r="T104" s="135"/>
      <c r="U104" s="135"/>
      <c r="V104" s="135"/>
      <c r="W104" s="135"/>
      <c r="X104" s="77"/>
      <c r="Y104" s="77"/>
      <c r="Z104" s="77"/>
    </row>
    <row r="105" ht="18.0" customHeight="1">
      <c r="A105" s="77"/>
      <c r="B105" s="136" t="s">
        <v>336</v>
      </c>
      <c r="C105" s="139" t="s">
        <v>337</v>
      </c>
      <c r="D105" s="103">
        <v>45.0</v>
      </c>
      <c r="E105" s="104">
        <v>60.0</v>
      </c>
      <c r="F105" s="104">
        <v>300.0</v>
      </c>
      <c r="G105" s="131">
        <v>35.0</v>
      </c>
      <c r="H105" s="104">
        <v>36.0</v>
      </c>
      <c r="I105" s="132" t="s">
        <v>326</v>
      </c>
      <c r="J105" s="71" t="s">
        <v>80</v>
      </c>
      <c r="K105" s="103" t="s">
        <v>35</v>
      </c>
      <c r="L105" s="109">
        <v>1450.0</v>
      </c>
      <c r="M105" s="108">
        <v>649.0</v>
      </c>
      <c r="N105" s="134">
        <f>1.437*1.125*0.665</f>
        <v>1.075055625</v>
      </c>
      <c r="O105" s="77"/>
      <c r="P105" s="135"/>
      <c r="Q105" s="135"/>
      <c r="R105" s="135"/>
      <c r="S105" s="135"/>
      <c r="T105" s="135"/>
      <c r="U105" s="135"/>
      <c r="V105" s="135"/>
      <c r="W105" s="135"/>
      <c r="X105" s="77"/>
      <c r="Y105" s="77"/>
      <c r="Z105" s="77"/>
    </row>
    <row r="106" ht="18.0" customHeight="1">
      <c r="A106" s="77"/>
      <c r="B106" s="129" t="s">
        <v>338</v>
      </c>
      <c r="C106" s="129" t="s">
        <v>338</v>
      </c>
      <c r="D106" s="103">
        <v>75.0</v>
      </c>
      <c r="E106" s="104">
        <v>100.0</v>
      </c>
      <c r="F106" s="104">
        <v>400.0</v>
      </c>
      <c r="G106" s="131">
        <v>43.0</v>
      </c>
      <c r="H106" s="104"/>
      <c r="I106" s="132" t="s">
        <v>326</v>
      </c>
      <c r="J106" s="71" t="s">
        <v>80</v>
      </c>
      <c r="K106" s="103" t="s">
        <v>35</v>
      </c>
      <c r="L106" s="109">
        <v>1450.0</v>
      </c>
      <c r="M106" s="108">
        <v>883.0</v>
      </c>
      <c r="N106" s="134">
        <f>1.581*1.125*0.694</f>
        <v>1.23436575</v>
      </c>
      <c r="O106" s="77"/>
      <c r="P106" s="135"/>
      <c r="Q106" s="135"/>
      <c r="R106" s="135"/>
      <c r="S106" s="135"/>
      <c r="T106" s="135"/>
      <c r="U106" s="135"/>
      <c r="V106" s="135"/>
      <c r="W106" s="135"/>
      <c r="X106" s="77"/>
      <c r="Y106" s="77"/>
      <c r="Z106" s="77"/>
    </row>
    <row r="107" ht="18.0" customHeight="1">
      <c r="A107" s="77"/>
      <c r="B107" s="136" t="s">
        <v>339</v>
      </c>
      <c r="C107" s="139" t="s">
        <v>340</v>
      </c>
      <c r="D107" s="103">
        <v>55.0</v>
      </c>
      <c r="E107" s="104">
        <v>75.0</v>
      </c>
      <c r="F107" s="104">
        <v>300.0</v>
      </c>
      <c r="G107" s="131">
        <v>44.0</v>
      </c>
      <c r="H107" s="104">
        <v>47.0</v>
      </c>
      <c r="I107" s="132" t="s">
        <v>326</v>
      </c>
      <c r="J107" s="71" t="s">
        <v>80</v>
      </c>
      <c r="K107" s="103" t="s">
        <v>35</v>
      </c>
      <c r="L107" s="109">
        <v>1450.0</v>
      </c>
      <c r="M107" s="108">
        <v>751.0</v>
      </c>
      <c r="N107" s="134">
        <f>1.525*1.125*0.694</f>
        <v>1.19064375</v>
      </c>
      <c r="O107" s="77"/>
      <c r="P107" s="135"/>
      <c r="Q107" s="135"/>
      <c r="R107" s="135"/>
      <c r="S107" s="135"/>
      <c r="T107" s="135"/>
      <c r="U107" s="135"/>
      <c r="V107" s="135"/>
      <c r="W107" s="135"/>
      <c r="X107" s="77"/>
      <c r="Y107" s="77"/>
      <c r="Z107" s="77"/>
    </row>
    <row r="108" ht="18.0" customHeight="1">
      <c r="A108" s="77"/>
      <c r="B108" s="129" t="s">
        <v>341</v>
      </c>
      <c r="C108" s="129" t="s">
        <v>341</v>
      </c>
      <c r="D108" s="103">
        <v>90.0</v>
      </c>
      <c r="E108" s="104">
        <v>125.0</v>
      </c>
      <c r="F108" s="104">
        <v>400.0</v>
      </c>
      <c r="G108" s="131">
        <v>50.0</v>
      </c>
      <c r="H108" s="104"/>
      <c r="I108" s="132" t="s">
        <v>326</v>
      </c>
      <c r="J108" s="71" t="s">
        <v>80</v>
      </c>
      <c r="K108" s="103" t="s">
        <v>35</v>
      </c>
      <c r="L108" s="109">
        <v>1450.0</v>
      </c>
      <c r="M108" s="108">
        <v>975.0</v>
      </c>
      <c r="N108" s="134">
        <f>1.632*1.125*0.694</f>
        <v>1.274184</v>
      </c>
      <c r="O108" s="77"/>
      <c r="P108" s="135"/>
      <c r="Q108" s="135"/>
      <c r="R108" s="135"/>
      <c r="S108" s="135"/>
      <c r="T108" s="135"/>
      <c r="U108" s="135"/>
      <c r="V108" s="135"/>
      <c r="W108" s="135"/>
      <c r="X108" s="77"/>
      <c r="Y108" s="77"/>
      <c r="Z108" s="77"/>
    </row>
    <row r="109" ht="18.0" customHeight="1">
      <c r="A109" s="77"/>
      <c r="B109" s="129" t="s">
        <v>342</v>
      </c>
      <c r="C109" s="129" t="s">
        <v>342</v>
      </c>
      <c r="D109" s="103">
        <v>75.0</v>
      </c>
      <c r="E109" s="104">
        <v>100.0</v>
      </c>
      <c r="F109" s="104">
        <v>300.0</v>
      </c>
      <c r="G109" s="131">
        <v>53.0</v>
      </c>
      <c r="H109" s="104"/>
      <c r="I109" s="132" t="s">
        <v>326</v>
      </c>
      <c r="J109" s="71" t="s">
        <v>80</v>
      </c>
      <c r="K109" s="103" t="s">
        <v>35</v>
      </c>
      <c r="L109" s="109">
        <v>1450.0</v>
      </c>
      <c r="M109" s="108">
        <v>884.0</v>
      </c>
      <c r="N109" s="134">
        <f>1.581*1.125*0.694</f>
        <v>1.23436575</v>
      </c>
      <c r="O109" s="77"/>
      <c r="P109" s="135"/>
      <c r="Q109" s="135"/>
      <c r="R109" s="135"/>
      <c r="S109" s="135"/>
      <c r="T109" s="135"/>
      <c r="U109" s="135"/>
      <c r="V109" s="135"/>
      <c r="W109" s="135"/>
      <c r="X109" s="77"/>
      <c r="Y109" s="77"/>
      <c r="Z109" s="77"/>
    </row>
    <row r="110" ht="18.0" customHeight="1">
      <c r="A110" s="77"/>
      <c r="B110" s="129" t="s">
        <v>343</v>
      </c>
      <c r="C110" s="129" t="s">
        <v>343</v>
      </c>
      <c r="D110" s="103">
        <v>30.0</v>
      </c>
      <c r="E110" s="104">
        <v>40.0</v>
      </c>
      <c r="F110" s="104">
        <v>630.0</v>
      </c>
      <c r="G110" s="131">
        <v>12.5</v>
      </c>
      <c r="H110" s="104"/>
      <c r="I110" s="132" t="s">
        <v>344</v>
      </c>
      <c r="J110" s="133">
        <v>4418.871779999999</v>
      </c>
      <c r="K110" s="103" t="s">
        <v>35</v>
      </c>
      <c r="L110" s="109">
        <v>1450.0</v>
      </c>
      <c r="M110" s="108">
        <v>552.0</v>
      </c>
      <c r="N110" s="134">
        <f>1.439*1.125*0.669</f>
        <v>1.083027375</v>
      </c>
      <c r="O110" s="77"/>
      <c r="P110" s="135"/>
      <c r="Q110" s="135"/>
      <c r="R110" s="135"/>
      <c r="S110" s="135"/>
      <c r="T110" s="135"/>
      <c r="U110" s="135"/>
      <c r="V110" s="135"/>
      <c r="W110" s="135"/>
      <c r="X110" s="77"/>
      <c r="Y110" s="77"/>
      <c r="Z110" s="77"/>
    </row>
    <row r="111" ht="18.0" customHeight="1">
      <c r="A111" s="77"/>
      <c r="B111" s="129" t="s">
        <v>345</v>
      </c>
      <c r="C111" s="129" t="s">
        <v>345</v>
      </c>
      <c r="D111" s="103">
        <v>37.0</v>
      </c>
      <c r="E111" s="104">
        <v>50.0</v>
      </c>
      <c r="F111" s="104">
        <v>630.0</v>
      </c>
      <c r="G111" s="131">
        <v>14.0</v>
      </c>
      <c r="H111" s="104"/>
      <c r="I111" s="132" t="s">
        <v>344</v>
      </c>
      <c r="J111" s="133">
        <v>4705.840364999999</v>
      </c>
      <c r="K111" s="103" t="s">
        <v>35</v>
      </c>
      <c r="L111" s="109">
        <v>1450.0</v>
      </c>
      <c r="M111" s="108">
        <v>612.0</v>
      </c>
      <c r="N111" s="134">
        <f>1.494*1.125*0.669</f>
        <v>1.12442175</v>
      </c>
      <c r="O111" s="77"/>
      <c r="P111" s="135"/>
      <c r="Q111" s="135"/>
      <c r="R111" s="135"/>
      <c r="S111" s="135"/>
      <c r="T111" s="135"/>
      <c r="U111" s="135"/>
      <c r="V111" s="135"/>
      <c r="W111" s="135"/>
      <c r="X111" s="77"/>
      <c r="Y111" s="77"/>
      <c r="Z111" s="77"/>
    </row>
    <row r="112" ht="18.0" customHeight="1">
      <c r="A112" s="77"/>
      <c r="B112" s="136" t="s">
        <v>346</v>
      </c>
      <c r="C112" s="139" t="s">
        <v>347</v>
      </c>
      <c r="D112" s="103">
        <v>30.0</v>
      </c>
      <c r="E112" s="104">
        <v>40.0</v>
      </c>
      <c r="F112" s="104">
        <v>500.0</v>
      </c>
      <c r="G112" s="131">
        <v>15.0</v>
      </c>
      <c r="H112" s="104">
        <v>16.0</v>
      </c>
      <c r="I112" s="132" t="s">
        <v>344</v>
      </c>
      <c r="J112" s="133">
        <v>4414.388504999999</v>
      </c>
      <c r="K112" s="103" t="s">
        <v>35</v>
      </c>
      <c r="L112" s="109">
        <v>1450.0</v>
      </c>
      <c r="M112" s="108">
        <v>553.0</v>
      </c>
      <c r="N112" s="134">
        <f>1.439*1.125*0.669</f>
        <v>1.083027375</v>
      </c>
      <c r="O112" s="77"/>
      <c r="P112" s="135"/>
      <c r="Q112" s="135"/>
      <c r="R112" s="135"/>
      <c r="S112" s="135"/>
      <c r="T112" s="135"/>
      <c r="U112" s="135"/>
      <c r="V112" s="135"/>
      <c r="W112" s="135"/>
      <c r="X112" s="77"/>
      <c r="Y112" s="77"/>
      <c r="Z112" s="77"/>
    </row>
    <row r="113" ht="18.0" customHeight="1">
      <c r="A113" s="77"/>
      <c r="B113" s="129" t="s">
        <v>348</v>
      </c>
      <c r="C113" s="129" t="s">
        <v>348</v>
      </c>
      <c r="D113" s="103">
        <v>45.0</v>
      </c>
      <c r="E113" s="104">
        <v>60.0</v>
      </c>
      <c r="F113" s="104">
        <v>630.0</v>
      </c>
      <c r="G113" s="131">
        <v>17.0</v>
      </c>
      <c r="H113" s="104"/>
      <c r="I113" s="132" t="s">
        <v>344</v>
      </c>
      <c r="J113" s="71" t="s">
        <v>80</v>
      </c>
      <c r="K113" s="103" t="s">
        <v>35</v>
      </c>
      <c r="L113" s="109">
        <v>1450.0</v>
      </c>
      <c r="M113" s="108">
        <v>649.0</v>
      </c>
      <c r="N113" s="134">
        <f>1.517*1.125*0.669</f>
        <v>1.141732125</v>
      </c>
      <c r="O113" s="77"/>
      <c r="P113" s="135"/>
      <c r="Q113" s="135"/>
      <c r="R113" s="135"/>
      <c r="S113" s="135"/>
      <c r="T113" s="135"/>
      <c r="U113" s="135"/>
      <c r="V113" s="135"/>
      <c r="W113" s="135"/>
      <c r="X113" s="77"/>
      <c r="Y113" s="77"/>
      <c r="Z113" s="77"/>
    </row>
    <row r="114" ht="18.0" customHeight="1">
      <c r="A114" s="77"/>
      <c r="B114" s="136" t="s">
        <v>349</v>
      </c>
      <c r="C114" s="139" t="s">
        <v>350</v>
      </c>
      <c r="D114" s="103">
        <v>37.0</v>
      </c>
      <c r="E114" s="104">
        <v>50.0</v>
      </c>
      <c r="F114" s="104">
        <v>500.0</v>
      </c>
      <c r="G114" s="131">
        <v>18.0</v>
      </c>
      <c r="H114" s="104">
        <v>19.0</v>
      </c>
      <c r="I114" s="132" t="s">
        <v>344</v>
      </c>
      <c r="J114" s="133">
        <v>4705.840364999999</v>
      </c>
      <c r="K114" s="103" t="s">
        <v>35</v>
      </c>
      <c r="L114" s="109">
        <v>1450.0</v>
      </c>
      <c r="M114" s="108">
        <v>614.0</v>
      </c>
      <c r="N114" s="134">
        <f>1.494*1.125*0.669</f>
        <v>1.12442175</v>
      </c>
      <c r="O114" s="77"/>
      <c r="P114" s="135"/>
      <c r="Q114" s="135"/>
      <c r="R114" s="135"/>
      <c r="S114" s="135"/>
      <c r="T114" s="135"/>
      <c r="U114" s="135"/>
      <c r="V114" s="135"/>
      <c r="W114" s="135"/>
      <c r="X114" s="77"/>
      <c r="Y114" s="77"/>
      <c r="Z114" s="77"/>
    </row>
    <row r="115" ht="18.0" customHeight="1">
      <c r="A115" s="77"/>
      <c r="B115" s="129" t="s">
        <v>351</v>
      </c>
      <c r="C115" s="129" t="s">
        <v>351</v>
      </c>
      <c r="D115" s="103">
        <v>55.0</v>
      </c>
      <c r="E115" s="104">
        <v>75.0</v>
      </c>
      <c r="F115" s="104">
        <v>630.0</v>
      </c>
      <c r="G115" s="131">
        <v>20.0</v>
      </c>
      <c r="H115" s="104"/>
      <c r="I115" s="132" t="s">
        <v>344</v>
      </c>
      <c r="J115" s="71" t="s">
        <v>80</v>
      </c>
      <c r="K115" s="103" t="s">
        <v>35</v>
      </c>
      <c r="L115" s="109">
        <v>1450.0</v>
      </c>
      <c r="M115" s="108">
        <v>722.0</v>
      </c>
      <c r="N115" s="134">
        <f>1.593*1.125*0.669</f>
        <v>1.198931625</v>
      </c>
      <c r="O115" s="77"/>
      <c r="P115" s="135"/>
      <c r="Q115" s="135"/>
      <c r="R115" s="135"/>
      <c r="S115" s="135"/>
      <c r="T115" s="135"/>
      <c r="U115" s="135"/>
      <c r="V115" s="135"/>
      <c r="W115" s="135"/>
      <c r="X115" s="77"/>
      <c r="Y115" s="77"/>
      <c r="Z115" s="77"/>
    </row>
    <row r="116" ht="18.0" customHeight="1">
      <c r="A116" s="77"/>
      <c r="B116" s="136" t="s">
        <v>352</v>
      </c>
      <c r="C116" s="139" t="s">
        <v>353</v>
      </c>
      <c r="D116" s="103">
        <v>45.0</v>
      </c>
      <c r="E116" s="104">
        <v>60.0</v>
      </c>
      <c r="F116" s="104">
        <v>500.0</v>
      </c>
      <c r="G116" s="131">
        <v>21.0</v>
      </c>
      <c r="H116" s="104"/>
      <c r="I116" s="132" t="s">
        <v>344</v>
      </c>
      <c r="J116" s="71" t="s">
        <v>80</v>
      </c>
      <c r="K116" s="103" t="s">
        <v>35</v>
      </c>
      <c r="L116" s="109">
        <v>1450.0</v>
      </c>
      <c r="M116" s="108">
        <v>650.0</v>
      </c>
      <c r="N116" s="134">
        <f>1.517*1.125*0.669</f>
        <v>1.141732125</v>
      </c>
      <c r="O116" s="77"/>
      <c r="P116" s="135"/>
      <c r="Q116" s="135"/>
      <c r="R116" s="135"/>
      <c r="S116" s="135"/>
      <c r="T116" s="135"/>
      <c r="U116" s="135"/>
      <c r="V116" s="135"/>
      <c r="W116" s="135"/>
      <c r="X116" s="77"/>
      <c r="Y116" s="77"/>
      <c r="Z116" s="77"/>
    </row>
    <row r="117" ht="18.0" customHeight="1">
      <c r="A117" s="77"/>
      <c r="B117" s="129" t="s">
        <v>354</v>
      </c>
      <c r="C117" s="129" t="s">
        <v>354</v>
      </c>
      <c r="D117" s="103">
        <v>75.0</v>
      </c>
      <c r="E117" s="104">
        <v>100.0</v>
      </c>
      <c r="F117" s="104">
        <v>630.0</v>
      </c>
      <c r="G117" s="131">
        <v>26.0</v>
      </c>
      <c r="H117" s="104"/>
      <c r="I117" s="132" t="s">
        <v>344</v>
      </c>
      <c r="J117" s="71" t="s">
        <v>80</v>
      </c>
      <c r="K117" s="103" t="s">
        <v>35</v>
      </c>
      <c r="L117" s="109">
        <v>1450.0</v>
      </c>
      <c r="M117" s="108">
        <v>909.0</v>
      </c>
      <c r="N117" s="134">
        <f>1.661*1.125*0.703</f>
        <v>1.313643375</v>
      </c>
      <c r="O117" s="77"/>
      <c r="P117" s="135"/>
      <c r="Q117" s="135"/>
      <c r="R117" s="135"/>
      <c r="S117" s="135"/>
      <c r="T117" s="135"/>
      <c r="U117" s="135"/>
      <c r="V117" s="135"/>
      <c r="W117" s="135"/>
      <c r="X117" s="77"/>
      <c r="Y117" s="77"/>
      <c r="Z117" s="77"/>
    </row>
    <row r="118" ht="18.0" customHeight="1">
      <c r="A118" s="77"/>
      <c r="B118" s="136" t="s">
        <v>355</v>
      </c>
      <c r="C118" s="139" t="s">
        <v>356</v>
      </c>
      <c r="D118" s="103">
        <v>55.0</v>
      </c>
      <c r="E118" s="104">
        <v>75.0</v>
      </c>
      <c r="F118" s="104">
        <v>500.0</v>
      </c>
      <c r="G118" s="131">
        <v>27.0</v>
      </c>
      <c r="H118" s="104"/>
      <c r="I118" s="132" t="s">
        <v>344</v>
      </c>
      <c r="J118" s="71" t="s">
        <v>80</v>
      </c>
      <c r="K118" s="103" t="s">
        <v>35</v>
      </c>
      <c r="L118" s="109">
        <v>1450.0</v>
      </c>
      <c r="M118" s="108">
        <v>780.0</v>
      </c>
      <c r="N118" s="134">
        <f>1.605*1.125*0.703</f>
        <v>1.269354375</v>
      </c>
      <c r="O118" s="77"/>
      <c r="P118" s="135"/>
      <c r="Q118" s="135"/>
      <c r="R118" s="135"/>
      <c r="S118" s="135"/>
      <c r="T118" s="135"/>
      <c r="U118" s="135"/>
      <c r="V118" s="135"/>
      <c r="W118" s="135"/>
      <c r="X118" s="77"/>
      <c r="Y118" s="77"/>
      <c r="Z118" s="77"/>
    </row>
    <row r="119" ht="18.0" customHeight="1">
      <c r="A119" s="77"/>
      <c r="B119" s="129" t="s">
        <v>357</v>
      </c>
      <c r="C119" s="129" t="s">
        <v>357</v>
      </c>
      <c r="D119" s="103">
        <v>90.0</v>
      </c>
      <c r="E119" s="104">
        <v>125.0</v>
      </c>
      <c r="F119" s="104">
        <v>630.0</v>
      </c>
      <c r="G119" s="131">
        <v>32.0</v>
      </c>
      <c r="H119" s="104"/>
      <c r="I119" s="132" t="s">
        <v>344</v>
      </c>
      <c r="J119" s="71" t="s">
        <v>80</v>
      </c>
      <c r="K119" s="103" t="s">
        <v>35</v>
      </c>
      <c r="L119" s="109">
        <v>1450.0</v>
      </c>
      <c r="M119" s="108">
        <v>999.0</v>
      </c>
      <c r="N119" s="134">
        <f>1.712*1.125*0.703</f>
        <v>1.353978</v>
      </c>
      <c r="O119" s="77"/>
      <c r="P119" s="135"/>
      <c r="Q119" s="135"/>
      <c r="R119" s="135"/>
      <c r="S119" s="135"/>
      <c r="T119" s="135"/>
      <c r="U119" s="135"/>
      <c r="V119" s="135"/>
      <c r="W119" s="135"/>
      <c r="X119" s="77"/>
      <c r="Y119" s="77"/>
      <c r="Z119" s="77"/>
    </row>
    <row r="120" ht="18.0" customHeight="1">
      <c r="A120" s="77"/>
      <c r="B120" s="129" t="s">
        <v>358</v>
      </c>
      <c r="C120" s="129" t="s">
        <v>358</v>
      </c>
      <c r="D120" s="103">
        <v>75.0</v>
      </c>
      <c r="E120" s="104">
        <v>100.0</v>
      </c>
      <c r="F120" s="104">
        <v>500.0</v>
      </c>
      <c r="G120" s="131">
        <v>36.0</v>
      </c>
      <c r="H120" s="104"/>
      <c r="I120" s="132" t="s">
        <v>344</v>
      </c>
      <c r="J120" s="71" t="s">
        <v>80</v>
      </c>
      <c r="K120" s="103" t="s">
        <v>35</v>
      </c>
      <c r="L120" s="109">
        <v>1450.0</v>
      </c>
      <c r="M120" s="108">
        <v>909.0</v>
      </c>
      <c r="N120" s="134">
        <f>1.661*1.125*0.703</f>
        <v>1.313643375</v>
      </c>
      <c r="O120" s="77"/>
      <c r="P120" s="135"/>
      <c r="Q120" s="135"/>
      <c r="R120" s="135"/>
      <c r="S120" s="135"/>
      <c r="T120" s="135"/>
      <c r="U120" s="135"/>
      <c r="V120" s="135"/>
      <c r="W120" s="135"/>
      <c r="X120" s="77"/>
      <c r="Y120" s="77"/>
      <c r="Z120" s="77"/>
    </row>
    <row r="121" ht="18.0" customHeight="1">
      <c r="A121" s="77"/>
      <c r="B121" s="129" t="s">
        <v>359</v>
      </c>
      <c r="C121" s="129" t="s">
        <v>359</v>
      </c>
      <c r="D121" s="103">
        <v>110.0</v>
      </c>
      <c r="E121" s="104">
        <v>150.0</v>
      </c>
      <c r="F121" s="104">
        <v>630.0</v>
      </c>
      <c r="G121" s="131">
        <v>40.0</v>
      </c>
      <c r="H121" s="104"/>
      <c r="I121" s="132" t="s">
        <v>344</v>
      </c>
      <c r="J121" s="71" t="s">
        <v>80</v>
      </c>
      <c r="K121" s="103" t="s">
        <v>35</v>
      </c>
      <c r="L121" s="109">
        <v>1450.0</v>
      </c>
      <c r="M121" s="108">
        <v>1389.0</v>
      </c>
      <c r="N121" s="134">
        <f>1.865*1.225*0.77</f>
        <v>1.75916125</v>
      </c>
      <c r="O121" s="77"/>
      <c r="P121" s="135"/>
      <c r="Q121" s="135"/>
      <c r="R121" s="135"/>
      <c r="S121" s="135"/>
      <c r="T121" s="135"/>
      <c r="U121" s="135"/>
      <c r="V121" s="135"/>
      <c r="W121" s="135"/>
      <c r="X121" s="77"/>
      <c r="Y121" s="77"/>
      <c r="Z121" s="77"/>
    </row>
    <row r="122" ht="18.0" customHeight="1">
      <c r="A122" s="77"/>
      <c r="B122" s="136" t="s">
        <v>360</v>
      </c>
      <c r="C122" s="139" t="s">
        <v>361</v>
      </c>
      <c r="D122" s="103">
        <v>90.0</v>
      </c>
      <c r="E122" s="104">
        <v>125.0</v>
      </c>
      <c r="F122" s="104">
        <v>500.0</v>
      </c>
      <c r="G122" s="131">
        <v>44.0</v>
      </c>
      <c r="H122" s="104">
        <v>47.0</v>
      </c>
      <c r="I122" s="132" t="s">
        <v>344</v>
      </c>
      <c r="J122" s="71" t="s">
        <v>80</v>
      </c>
      <c r="K122" s="103" t="s">
        <v>35</v>
      </c>
      <c r="L122" s="109">
        <v>1450.0</v>
      </c>
      <c r="M122" s="108">
        <v>1032.0</v>
      </c>
      <c r="N122" s="134">
        <f>1.695*1.225*0.749</f>
        <v>1.555204875</v>
      </c>
      <c r="O122" s="77"/>
      <c r="P122" s="135"/>
      <c r="Q122" s="135"/>
      <c r="R122" s="135"/>
      <c r="S122" s="135"/>
      <c r="T122" s="135"/>
      <c r="U122" s="135"/>
      <c r="V122" s="135"/>
      <c r="W122" s="135"/>
      <c r="X122" s="77"/>
      <c r="Y122" s="77"/>
      <c r="Z122" s="77"/>
    </row>
    <row r="123" ht="18.0" customHeight="1">
      <c r="A123" s="77"/>
      <c r="B123" s="129" t="s">
        <v>362</v>
      </c>
      <c r="C123" s="129" t="s">
        <v>362</v>
      </c>
      <c r="D123" s="103">
        <v>132.0</v>
      </c>
      <c r="E123" s="104">
        <v>180.0</v>
      </c>
      <c r="F123" s="104">
        <v>630.0</v>
      </c>
      <c r="G123" s="131">
        <v>50.0</v>
      </c>
      <c r="H123" s="104"/>
      <c r="I123" s="132" t="s">
        <v>344</v>
      </c>
      <c r="J123" s="71" t="s">
        <v>80</v>
      </c>
      <c r="K123" s="103" t="s">
        <v>35</v>
      </c>
      <c r="L123" s="109">
        <v>1450.0</v>
      </c>
      <c r="M123" s="108">
        <v>1473.0</v>
      </c>
      <c r="N123" s="134">
        <f>2.015*1.225*0.77</f>
        <v>1.90064875</v>
      </c>
      <c r="O123" s="77"/>
      <c r="P123" s="135"/>
      <c r="Q123" s="135"/>
      <c r="R123" s="135"/>
      <c r="S123" s="135"/>
      <c r="T123" s="135"/>
      <c r="U123" s="135"/>
      <c r="V123" s="135"/>
      <c r="W123" s="135"/>
      <c r="X123" s="77"/>
      <c r="Y123" s="77"/>
      <c r="Z123" s="77"/>
    </row>
    <row r="124" ht="18.0" customHeight="1">
      <c r="A124" s="77"/>
      <c r="B124" s="136" t="s">
        <v>363</v>
      </c>
      <c r="C124" s="139" t="s">
        <v>364</v>
      </c>
      <c r="D124" s="103">
        <v>110.0</v>
      </c>
      <c r="E124" s="104">
        <v>150.0</v>
      </c>
      <c r="F124" s="104">
        <v>500.0</v>
      </c>
      <c r="G124" s="131">
        <v>53.0</v>
      </c>
      <c r="H124" s="104"/>
      <c r="I124" s="132" t="s">
        <v>344</v>
      </c>
      <c r="J124" s="71" t="s">
        <v>80</v>
      </c>
      <c r="K124" s="103" t="s">
        <v>35</v>
      </c>
      <c r="L124" s="109">
        <v>1450.0</v>
      </c>
      <c r="M124" s="108">
        <v>1391.0</v>
      </c>
      <c r="N124" s="134">
        <f>1.865*1.225*0.77</f>
        <v>1.75916125</v>
      </c>
      <c r="O124" s="77"/>
      <c r="P124" s="135"/>
      <c r="Q124" s="135"/>
      <c r="R124" s="135"/>
      <c r="S124" s="135"/>
      <c r="T124" s="135"/>
      <c r="U124" s="135"/>
      <c r="V124" s="135"/>
      <c r="W124" s="135"/>
      <c r="X124" s="77"/>
      <c r="Y124" s="77"/>
      <c r="Z124" s="77"/>
    </row>
    <row r="125" ht="18.0" customHeight="1">
      <c r="A125" s="77"/>
      <c r="B125" s="140"/>
      <c r="C125" s="139" t="s">
        <v>365</v>
      </c>
      <c r="D125" s="103">
        <v>55.0</v>
      </c>
      <c r="E125" s="104">
        <v>75.0</v>
      </c>
      <c r="F125" s="104">
        <v>900.0</v>
      </c>
      <c r="G125" s="131">
        <v>15.0</v>
      </c>
      <c r="H125" s="104"/>
      <c r="I125" s="132" t="s">
        <v>366</v>
      </c>
      <c r="J125" s="71" t="s">
        <v>80</v>
      </c>
      <c r="K125" s="103" t="s">
        <v>35</v>
      </c>
      <c r="L125" s="109">
        <v>1451.0</v>
      </c>
      <c r="M125" s="108"/>
      <c r="N125" s="134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ht="18.0" customHeight="1">
      <c r="A126" s="77"/>
      <c r="B126" s="140"/>
      <c r="C126" s="139" t="s">
        <v>367</v>
      </c>
      <c r="D126" s="103">
        <v>75.0</v>
      </c>
      <c r="E126" s="104">
        <v>100.0</v>
      </c>
      <c r="F126" s="104">
        <v>900.0</v>
      </c>
      <c r="G126" s="131">
        <v>20.0</v>
      </c>
      <c r="H126" s="104"/>
      <c r="I126" s="132" t="s">
        <v>366</v>
      </c>
      <c r="J126" s="71" t="s">
        <v>80</v>
      </c>
      <c r="K126" s="103" t="s">
        <v>35</v>
      </c>
      <c r="L126" s="109">
        <v>1452.0</v>
      </c>
      <c r="M126" s="108"/>
      <c r="N126" s="134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ht="18.0" customHeight="1">
      <c r="A127" s="77"/>
      <c r="B127" s="140"/>
      <c r="C127" s="139" t="s">
        <v>368</v>
      </c>
      <c r="D127" s="103">
        <v>90.0</v>
      </c>
      <c r="E127" s="104">
        <v>125.0</v>
      </c>
      <c r="F127" s="104">
        <v>900.0</v>
      </c>
      <c r="G127" s="131">
        <v>25.0</v>
      </c>
      <c r="H127" s="104"/>
      <c r="I127" s="132" t="s">
        <v>366</v>
      </c>
      <c r="J127" s="71" t="s">
        <v>80</v>
      </c>
      <c r="K127" s="103" t="s">
        <v>35</v>
      </c>
      <c r="L127" s="109">
        <v>1453.0</v>
      </c>
      <c r="M127" s="108"/>
      <c r="N127" s="134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ht="18.0" customHeight="1">
      <c r="A128" s="77"/>
      <c r="B128" s="140"/>
      <c r="C128" s="139" t="s">
        <v>369</v>
      </c>
      <c r="D128" s="103">
        <v>110.0</v>
      </c>
      <c r="E128" s="104">
        <v>150.0</v>
      </c>
      <c r="F128" s="104">
        <v>900.0</v>
      </c>
      <c r="G128" s="131">
        <v>30.0</v>
      </c>
      <c r="H128" s="104"/>
      <c r="I128" s="132" t="s">
        <v>366</v>
      </c>
      <c r="J128" s="71" t="s">
        <v>80</v>
      </c>
      <c r="K128" s="103" t="s">
        <v>35</v>
      </c>
      <c r="L128" s="109">
        <v>1454.0</v>
      </c>
      <c r="M128" s="108"/>
      <c r="N128" s="134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ht="18.0" customHeight="1">
      <c r="A129" s="77"/>
      <c r="B129" s="140"/>
      <c r="C129" s="139" t="s">
        <v>370</v>
      </c>
      <c r="D129" s="103">
        <v>132.0</v>
      </c>
      <c r="E129" s="104">
        <v>180.0</v>
      </c>
      <c r="F129" s="104">
        <v>900.0</v>
      </c>
      <c r="G129" s="131">
        <v>35.0</v>
      </c>
      <c r="H129" s="104"/>
      <c r="I129" s="132" t="s">
        <v>366</v>
      </c>
      <c r="J129" s="71" t="s">
        <v>80</v>
      </c>
      <c r="K129" s="103" t="s">
        <v>35</v>
      </c>
      <c r="L129" s="109">
        <v>1455.0</v>
      </c>
      <c r="M129" s="108"/>
      <c r="N129" s="134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ht="18.0" customHeight="1">
      <c r="A130" s="77"/>
      <c r="B130" s="140"/>
      <c r="C130" s="139" t="s">
        <v>371</v>
      </c>
      <c r="D130" s="103">
        <v>160.0</v>
      </c>
      <c r="E130" s="104">
        <v>215.0</v>
      </c>
      <c r="F130" s="104">
        <v>900.0</v>
      </c>
      <c r="G130" s="131">
        <v>44.0</v>
      </c>
      <c r="H130" s="104"/>
      <c r="I130" s="132" t="s">
        <v>366</v>
      </c>
      <c r="J130" s="71" t="s">
        <v>80</v>
      </c>
      <c r="K130" s="103" t="s">
        <v>35</v>
      </c>
      <c r="L130" s="109">
        <v>1456.0</v>
      </c>
      <c r="M130" s="108"/>
      <c r="N130" s="134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ht="18.0" customHeight="1">
      <c r="A131" s="77"/>
      <c r="B131" s="140"/>
      <c r="C131" s="139" t="s">
        <v>372</v>
      </c>
      <c r="D131" s="103">
        <v>200.0</v>
      </c>
      <c r="E131" s="104">
        <v>268.0</v>
      </c>
      <c r="F131" s="104">
        <v>900.0</v>
      </c>
      <c r="G131" s="131">
        <v>55.0</v>
      </c>
      <c r="H131" s="104"/>
      <c r="I131" s="132" t="s">
        <v>366</v>
      </c>
      <c r="J131" s="71" t="s">
        <v>80</v>
      </c>
      <c r="K131" s="103" t="s">
        <v>35</v>
      </c>
      <c r="L131" s="109">
        <v>1457.0</v>
      </c>
      <c r="M131" s="108"/>
      <c r="N131" s="134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ht="7.5" customHeight="1">
      <c r="A132" s="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41" t="s">
        <v>124</v>
      </c>
      <c r="C133" s="142"/>
      <c r="D133" s="74" t="s">
        <v>373</v>
      </c>
      <c r="E133" s="75"/>
      <c r="F133" s="76"/>
      <c r="G133" s="76"/>
      <c r="H133" s="76"/>
      <c r="I133" s="76"/>
      <c r="J133" s="76"/>
      <c r="K133" s="76"/>
      <c r="L133" s="76"/>
      <c r="M133" s="76"/>
      <c r="N133" s="7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43" t="s">
        <v>126</v>
      </c>
      <c r="C134" s="144"/>
      <c r="D134" s="79" t="s">
        <v>374</v>
      </c>
      <c r="E134" s="80"/>
      <c r="F134" s="81"/>
      <c r="G134" s="81"/>
      <c r="H134" s="81"/>
      <c r="I134" s="81"/>
      <c r="J134" s="81"/>
      <c r="K134" s="81"/>
      <c r="L134" s="81"/>
      <c r="M134" s="81"/>
      <c r="N134" s="8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43" t="s">
        <v>128</v>
      </c>
      <c r="C135" s="144"/>
      <c r="D135" s="79" t="s">
        <v>129</v>
      </c>
      <c r="E135" s="80"/>
      <c r="F135" s="81"/>
      <c r="G135" s="81"/>
      <c r="H135" s="81"/>
      <c r="I135" s="81"/>
      <c r="J135" s="81"/>
      <c r="K135" s="81"/>
      <c r="L135" s="81"/>
      <c r="M135" s="81"/>
      <c r="N135" s="8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43" t="s">
        <v>130</v>
      </c>
      <c r="C136" s="144"/>
      <c r="D136" s="79" t="s">
        <v>131</v>
      </c>
      <c r="E136" s="83"/>
      <c r="F136" s="84"/>
      <c r="G136" s="84"/>
      <c r="H136" s="84"/>
      <c r="I136" s="84"/>
      <c r="J136" s="84"/>
      <c r="K136" s="84"/>
      <c r="L136" s="84"/>
      <c r="M136" s="84"/>
      <c r="N136" s="8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43" t="s">
        <v>132</v>
      </c>
      <c r="C137" s="144"/>
      <c r="D137" s="85" t="s">
        <v>375</v>
      </c>
      <c r="E137" s="83"/>
      <c r="F137" s="84"/>
      <c r="G137" s="84"/>
      <c r="H137" s="84"/>
      <c r="I137" s="84"/>
      <c r="J137" s="84"/>
      <c r="K137" s="84"/>
      <c r="L137" s="84"/>
      <c r="M137" s="84"/>
      <c r="N137" s="8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43" t="s">
        <v>134</v>
      </c>
      <c r="C138" s="144"/>
      <c r="D138" s="85" t="s">
        <v>135</v>
      </c>
      <c r="E138" s="83"/>
      <c r="F138" s="84"/>
      <c r="G138" s="84"/>
      <c r="H138" s="84"/>
      <c r="I138" s="84"/>
      <c r="J138" s="84"/>
      <c r="K138" s="84"/>
      <c r="L138" s="84"/>
      <c r="M138" s="84"/>
      <c r="N138" s="8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43" t="s">
        <v>141</v>
      </c>
      <c r="C139" s="144"/>
      <c r="D139" s="85" t="s">
        <v>137</v>
      </c>
      <c r="E139" s="83"/>
      <c r="F139" s="84"/>
      <c r="G139" s="84"/>
      <c r="H139" s="84"/>
      <c r="I139" s="84"/>
      <c r="J139" s="84"/>
      <c r="K139" s="84"/>
      <c r="L139" s="84"/>
      <c r="M139" s="84"/>
      <c r="N139" s="8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45" t="s">
        <v>376</v>
      </c>
      <c r="C140" s="146"/>
      <c r="D140" s="85" t="s">
        <v>377</v>
      </c>
      <c r="E140" s="83"/>
      <c r="F140" s="84"/>
      <c r="G140" s="84"/>
      <c r="H140" s="84"/>
      <c r="I140" s="84"/>
      <c r="J140" s="84"/>
      <c r="K140" s="84"/>
      <c r="L140" s="84"/>
      <c r="M140" s="84"/>
      <c r="N140" s="8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45"/>
      <c r="C141" s="146"/>
      <c r="D141" s="85"/>
      <c r="E141" s="83"/>
      <c r="F141" s="84"/>
      <c r="G141" s="84"/>
      <c r="H141" s="84"/>
      <c r="I141" s="84"/>
      <c r="J141" s="84"/>
      <c r="K141" s="84"/>
      <c r="L141" s="84"/>
      <c r="M141" s="84"/>
      <c r="N141" s="8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B6:N6"/>
    <mergeCell ref="B8:C8"/>
    <mergeCell ref="D8:E9"/>
    <mergeCell ref="F8:H8"/>
    <mergeCell ref="K8:K10"/>
    <mergeCell ref="L8:L9"/>
    <mergeCell ref="G9:H9"/>
    <mergeCell ref="B140:C140"/>
    <mergeCell ref="B141:C141"/>
    <mergeCell ref="B133:C133"/>
    <mergeCell ref="B134:C134"/>
    <mergeCell ref="B135:C135"/>
    <mergeCell ref="B136:C136"/>
    <mergeCell ref="B137:C137"/>
    <mergeCell ref="B138:C138"/>
    <mergeCell ref="B139:C13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3" width="9.44"/>
    <col customWidth="1" min="14" max="14" width="3.89"/>
    <col customWidth="1" min="15" max="16" width="9.0"/>
    <col customWidth="1" min="17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1"/>
      <c r="D3" s="5"/>
      <c r="E3" s="1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6"/>
      <c r="M4" s="8" t="s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11"/>
      <c r="K5" s="11"/>
      <c r="L5" s="11"/>
      <c r="M5" s="8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33"/>
      <c r="B6" s="114" t="s">
        <v>378</v>
      </c>
      <c r="C6" s="115"/>
      <c r="D6" s="115"/>
      <c r="E6" s="115"/>
      <c r="F6" s="115"/>
      <c r="G6" s="115"/>
      <c r="H6" s="115"/>
      <c r="I6" s="115"/>
      <c r="J6" s="115"/>
      <c r="K6" s="116"/>
      <c r="L6" s="89"/>
      <c r="M6" s="147" t="s">
        <v>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28" t="s">
        <v>7</v>
      </c>
      <c r="I8" s="148"/>
      <c r="J8" s="29" t="s">
        <v>8</v>
      </c>
      <c r="K8" s="30" t="s">
        <v>9</v>
      </c>
      <c r="L8" s="31" t="s">
        <v>10</v>
      </c>
      <c r="M8" s="32" t="s">
        <v>11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178</v>
      </c>
      <c r="B9" s="34"/>
      <c r="C9" s="35"/>
      <c r="D9" s="36"/>
      <c r="E9" s="96" t="s">
        <v>13</v>
      </c>
      <c r="F9" s="97" t="s">
        <v>14</v>
      </c>
      <c r="G9" s="98"/>
      <c r="H9" s="149"/>
      <c r="I9" s="150"/>
      <c r="J9" s="42"/>
      <c r="K9" s="43"/>
      <c r="L9" s="44" t="s">
        <v>178</v>
      </c>
      <c r="M9" s="44" t="s">
        <v>178</v>
      </c>
      <c r="N9" s="77"/>
      <c r="O9" s="77"/>
      <c r="P9" s="33" t="s">
        <v>379</v>
      </c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51" t="s">
        <v>178</v>
      </c>
      <c r="I10" s="151" t="s">
        <v>379</v>
      </c>
      <c r="J10" s="51"/>
      <c r="K10" s="128" t="s">
        <v>22</v>
      </c>
      <c r="L10" s="53" t="s">
        <v>23</v>
      </c>
      <c r="M10" s="54" t="s">
        <v>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12" t="s">
        <v>380</v>
      </c>
      <c r="C11" s="103">
        <v>1.5</v>
      </c>
      <c r="D11" s="104">
        <f>C11/0.75</f>
        <v>2</v>
      </c>
      <c r="E11" s="103">
        <v>15.0</v>
      </c>
      <c r="F11" s="104">
        <v>18.5</v>
      </c>
      <c r="G11" s="132" t="s">
        <v>381</v>
      </c>
      <c r="H11" s="106">
        <v>294.72659999999996</v>
      </c>
      <c r="I11" s="152">
        <v>571.7150249999999</v>
      </c>
      <c r="J11" s="103" t="s">
        <v>382</v>
      </c>
      <c r="K11" s="109">
        <v>2900.0</v>
      </c>
      <c r="L11" s="109">
        <v>31.0</v>
      </c>
      <c r="M11" s="110">
        <v>0.035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77"/>
      <c r="B12" s="112" t="s">
        <v>383</v>
      </c>
      <c r="C12" s="103">
        <v>2.2</v>
      </c>
      <c r="D12" s="104">
        <v>3.0</v>
      </c>
      <c r="E12" s="103">
        <v>15.0</v>
      </c>
      <c r="F12" s="104">
        <v>24.5</v>
      </c>
      <c r="G12" s="132" t="s">
        <v>381</v>
      </c>
      <c r="H12" s="106">
        <v>296.36397</v>
      </c>
      <c r="I12" s="152">
        <v>605.8268999999999</v>
      </c>
      <c r="J12" s="103" t="s">
        <v>382</v>
      </c>
      <c r="K12" s="109">
        <v>2900.0</v>
      </c>
      <c r="L12" s="109">
        <v>31.0</v>
      </c>
      <c r="M12" s="110">
        <v>0.035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91"/>
      <c r="B13" s="112" t="s">
        <v>384</v>
      </c>
      <c r="C13" s="103">
        <v>3.0</v>
      </c>
      <c r="D13" s="104">
        <f t="shared" ref="D13:D14" si="1">C13/0.75</f>
        <v>4</v>
      </c>
      <c r="E13" s="103">
        <v>15.0</v>
      </c>
      <c r="F13" s="104">
        <v>28.0</v>
      </c>
      <c r="G13" s="132" t="s">
        <v>381</v>
      </c>
      <c r="H13" s="106">
        <v>298.0013399999999</v>
      </c>
      <c r="I13" s="152">
        <v>686.6038199999998</v>
      </c>
      <c r="J13" s="103" t="s">
        <v>382</v>
      </c>
      <c r="K13" s="109">
        <v>2900.0</v>
      </c>
      <c r="L13" s="109">
        <v>31.0</v>
      </c>
      <c r="M13" s="110">
        <v>0.035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8.0" customHeight="1">
      <c r="A14" s="153"/>
      <c r="B14" s="112" t="s">
        <v>385</v>
      </c>
      <c r="C14" s="103">
        <v>3.0</v>
      </c>
      <c r="D14" s="104">
        <f t="shared" si="1"/>
        <v>4</v>
      </c>
      <c r="E14" s="103">
        <v>15.0</v>
      </c>
      <c r="F14" s="104">
        <v>35.2</v>
      </c>
      <c r="G14" s="132" t="s">
        <v>381</v>
      </c>
      <c r="H14" s="106">
        <v>365.6792999999999</v>
      </c>
      <c r="I14" s="152">
        <v>760.2854699999999</v>
      </c>
      <c r="J14" s="103" t="s">
        <v>382</v>
      </c>
      <c r="K14" s="109">
        <v>2900.0</v>
      </c>
      <c r="L14" s="109">
        <v>35.0</v>
      </c>
      <c r="M14" s="110">
        <f t="shared" ref="M14:M15" si="2">46*26*36/1000000</f>
        <v>0.043056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77"/>
      <c r="B15" s="112" t="s">
        <v>386</v>
      </c>
      <c r="C15" s="103">
        <v>4.0</v>
      </c>
      <c r="D15" s="104">
        <v>5.5</v>
      </c>
      <c r="E15" s="103">
        <v>15.0</v>
      </c>
      <c r="F15" s="104">
        <v>45.5</v>
      </c>
      <c r="G15" s="132" t="s">
        <v>381</v>
      </c>
      <c r="H15" s="106">
        <v>368.1353549999999</v>
      </c>
      <c r="I15" s="152">
        <v>834.8247899999999</v>
      </c>
      <c r="J15" s="103" t="s">
        <v>382</v>
      </c>
      <c r="K15" s="109">
        <v>2900.0</v>
      </c>
      <c r="L15" s="109">
        <v>35.0</v>
      </c>
      <c r="M15" s="110">
        <f t="shared" si="2"/>
        <v>0.043056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8.0" customHeight="1">
      <c r="A16" s="77"/>
      <c r="B16" s="112" t="s">
        <v>387</v>
      </c>
      <c r="C16" s="103">
        <v>5.5</v>
      </c>
      <c r="D16" s="104">
        <v>7.5</v>
      </c>
      <c r="E16" s="103">
        <v>15.0</v>
      </c>
      <c r="F16" s="104">
        <v>55.0</v>
      </c>
      <c r="G16" s="132" t="s">
        <v>381</v>
      </c>
      <c r="H16" s="106">
        <v>401.9743349999999</v>
      </c>
      <c r="I16" s="107">
        <v>1030.724415</v>
      </c>
      <c r="J16" s="103" t="s">
        <v>35</v>
      </c>
      <c r="K16" s="109">
        <v>2900.0</v>
      </c>
      <c r="L16" s="109">
        <v>55.0</v>
      </c>
      <c r="M16" s="110">
        <f t="shared" ref="M16:M20" si="3">46*32*46/1000000</f>
        <v>0.067712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77"/>
      <c r="B17" s="112" t="s">
        <v>388</v>
      </c>
      <c r="C17" s="103">
        <v>7.5</v>
      </c>
      <c r="D17" s="104">
        <f>C17/0.75</f>
        <v>10</v>
      </c>
      <c r="E17" s="103">
        <v>15.0</v>
      </c>
      <c r="F17" s="104">
        <v>66.0</v>
      </c>
      <c r="G17" s="132" t="s">
        <v>381</v>
      </c>
      <c r="H17" s="106">
        <v>403.3388099999999</v>
      </c>
      <c r="I17" s="107">
        <v>1061.3666249999999</v>
      </c>
      <c r="J17" s="103" t="s">
        <v>35</v>
      </c>
      <c r="K17" s="109">
        <v>2900.0</v>
      </c>
      <c r="L17" s="109">
        <v>55.0</v>
      </c>
      <c r="M17" s="110">
        <f t="shared" si="3"/>
        <v>0.067712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77"/>
      <c r="B18" s="112" t="s">
        <v>389</v>
      </c>
      <c r="C18" s="103">
        <v>9.2</v>
      </c>
      <c r="D18" s="104">
        <v>12.5</v>
      </c>
      <c r="E18" s="103">
        <v>15.0</v>
      </c>
      <c r="F18" s="104">
        <v>72.0</v>
      </c>
      <c r="G18" s="132" t="s">
        <v>381</v>
      </c>
      <c r="H18" s="106">
        <v>404.7032849999999</v>
      </c>
      <c r="I18" s="107">
        <v>1344.3977249999998</v>
      </c>
      <c r="J18" s="103" t="s">
        <v>35</v>
      </c>
      <c r="K18" s="109">
        <v>2900.0</v>
      </c>
      <c r="L18" s="109">
        <v>55.0</v>
      </c>
      <c r="M18" s="110">
        <f t="shared" si="3"/>
        <v>0.067712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77"/>
      <c r="B19" s="154" t="s">
        <v>390</v>
      </c>
      <c r="C19" s="103">
        <v>11.0</v>
      </c>
      <c r="D19" s="104">
        <v>15.0</v>
      </c>
      <c r="E19" s="103">
        <v>15.0</v>
      </c>
      <c r="F19" s="104">
        <v>82.0</v>
      </c>
      <c r="G19" s="132" t="s">
        <v>381</v>
      </c>
      <c r="H19" s="106">
        <v>405.52196999999995</v>
      </c>
      <c r="I19" s="107">
        <v>1533.5919299999998</v>
      </c>
      <c r="J19" s="103" t="s">
        <v>35</v>
      </c>
      <c r="K19" s="109">
        <v>2900.0</v>
      </c>
      <c r="L19" s="109">
        <v>55.0</v>
      </c>
      <c r="M19" s="110">
        <f t="shared" si="3"/>
        <v>0.067712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155"/>
      <c r="B20" s="154" t="s">
        <v>391</v>
      </c>
      <c r="C20" s="103">
        <v>15.0</v>
      </c>
      <c r="D20" s="104">
        <v>20.0</v>
      </c>
      <c r="E20" s="103">
        <v>15.0</v>
      </c>
      <c r="F20" s="104">
        <v>90.0</v>
      </c>
      <c r="G20" s="132" t="s">
        <v>381</v>
      </c>
      <c r="H20" s="106">
        <v>406.3406549999999</v>
      </c>
      <c r="I20" s="107">
        <v>1593.7457849999996</v>
      </c>
      <c r="J20" s="103" t="s">
        <v>35</v>
      </c>
      <c r="K20" s="109">
        <v>2900.0</v>
      </c>
      <c r="L20" s="109">
        <v>55.0</v>
      </c>
      <c r="M20" s="110">
        <f t="shared" si="3"/>
        <v>0.067712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77"/>
      <c r="B21" s="112" t="s">
        <v>392</v>
      </c>
      <c r="C21" s="103">
        <v>3.0</v>
      </c>
      <c r="D21" s="104">
        <f>C21/0.75</f>
        <v>4</v>
      </c>
      <c r="E21" s="103">
        <v>27.0</v>
      </c>
      <c r="F21" s="104">
        <v>26.3</v>
      </c>
      <c r="G21" s="132" t="s">
        <v>393</v>
      </c>
      <c r="H21" s="106">
        <v>330.475845</v>
      </c>
      <c r="I21" s="107">
        <v>725.0820149999998</v>
      </c>
      <c r="J21" s="103" t="s">
        <v>35</v>
      </c>
      <c r="K21" s="109">
        <v>2900.0</v>
      </c>
      <c r="L21" s="109">
        <v>35.0</v>
      </c>
      <c r="M21" s="110">
        <f t="shared" ref="M21:M22" si="4">0.46*0.26*0.34</f>
        <v>0.040664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77"/>
      <c r="B22" s="112" t="s">
        <v>394</v>
      </c>
      <c r="C22" s="103">
        <v>4.0</v>
      </c>
      <c r="D22" s="104">
        <v>5.5</v>
      </c>
      <c r="E22" s="103">
        <v>27.0</v>
      </c>
      <c r="F22" s="104">
        <v>33.0</v>
      </c>
      <c r="G22" s="132" t="s">
        <v>393</v>
      </c>
      <c r="H22" s="106">
        <v>332.6590049999999</v>
      </c>
      <c r="I22" s="107">
        <v>798.2568599999998</v>
      </c>
      <c r="J22" s="103" t="s">
        <v>35</v>
      </c>
      <c r="K22" s="109">
        <v>2900.0</v>
      </c>
      <c r="L22" s="109">
        <v>35.0</v>
      </c>
      <c r="M22" s="110">
        <f t="shared" si="4"/>
        <v>0.040664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77"/>
      <c r="B23" s="112" t="s">
        <v>395</v>
      </c>
      <c r="C23" s="103">
        <v>5.5</v>
      </c>
      <c r="D23" s="104">
        <v>7.5</v>
      </c>
      <c r="E23" s="103">
        <v>27.0</v>
      </c>
      <c r="F23" s="104">
        <v>40.1</v>
      </c>
      <c r="G23" s="132" t="s">
        <v>393</v>
      </c>
      <c r="H23" s="106">
        <v>394.8790649999999</v>
      </c>
      <c r="I23" s="107">
        <v>1023.1223399999999</v>
      </c>
      <c r="J23" s="103" t="s">
        <v>382</v>
      </c>
      <c r="K23" s="109">
        <v>2900.0</v>
      </c>
      <c r="L23" s="109">
        <v>38.0</v>
      </c>
      <c r="M23" s="110">
        <f t="shared" ref="M23:M24" si="5">48*28*36/1000000</f>
        <v>0.048384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77"/>
      <c r="B24" s="112" t="s">
        <v>396</v>
      </c>
      <c r="C24" s="103">
        <v>7.5</v>
      </c>
      <c r="D24" s="104">
        <f>C24/0.75</f>
        <v>10</v>
      </c>
      <c r="E24" s="103">
        <v>27.0</v>
      </c>
      <c r="F24" s="104">
        <v>50.0</v>
      </c>
      <c r="G24" s="132" t="s">
        <v>393</v>
      </c>
      <c r="H24" s="106">
        <v>399.51827999999995</v>
      </c>
      <c r="I24" s="107">
        <v>1057.1562449999997</v>
      </c>
      <c r="J24" s="103" t="s">
        <v>382</v>
      </c>
      <c r="K24" s="109">
        <v>2900.0</v>
      </c>
      <c r="L24" s="109">
        <v>38.0</v>
      </c>
      <c r="M24" s="110">
        <f t="shared" si="5"/>
        <v>0.048384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77"/>
      <c r="B25" s="112" t="s">
        <v>397</v>
      </c>
      <c r="C25" s="103">
        <v>9.2</v>
      </c>
      <c r="D25" s="104">
        <v>12.5</v>
      </c>
      <c r="E25" s="103">
        <v>27.0</v>
      </c>
      <c r="F25" s="104">
        <v>55.0</v>
      </c>
      <c r="G25" s="132" t="s">
        <v>393</v>
      </c>
      <c r="H25" s="106">
        <v>415.6190849999999</v>
      </c>
      <c r="I25" s="107">
        <v>1356.2101799999998</v>
      </c>
      <c r="J25" s="103" t="s">
        <v>35</v>
      </c>
      <c r="K25" s="109">
        <v>2900.0</v>
      </c>
      <c r="L25" s="109">
        <v>58.0</v>
      </c>
      <c r="M25" s="110">
        <f t="shared" ref="M25:M28" si="6">48*32*46/1000000</f>
        <v>0.070656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77"/>
      <c r="B26" s="112" t="s">
        <v>398</v>
      </c>
      <c r="C26" s="103">
        <v>11.0</v>
      </c>
      <c r="D26" s="104">
        <v>15.0</v>
      </c>
      <c r="E26" s="103">
        <v>27.0</v>
      </c>
      <c r="F26" s="104">
        <v>63.5</v>
      </c>
      <c r="G26" s="132" t="s">
        <v>393</v>
      </c>
      <c r="H26" s="106">
        <v>416.9835599999999</v>
      </c>
      <c r="I26" s="107">
        <v>1545.4043849999998</v>
      </c>
      <c r="J26" s="103" t="s">
        <v>35</v>
      </c>
      <c r="K26" s="109">
        <v>2900.0</v>
      </c>
      <c r="L26" s="109">
        <v>58.0</v>
      </c>
      <c r="M26" s="110">
        <f t="shared" si="6"/>
        <v>0.070656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77"/>
      <c r="B27" s="112" t="s">
        <v>399</v>
      </c>
      <c r="C27" s="103">
        <v>15.0</v>
      </c>
      <c r="D27" s="104">
        <f>C27/0.75</f>
        <v>20</v>
      </c>
      <c r="E27" s="103">
        <v>27.0</v>
      </c>
      <c r="F27" s="104">
        <v>75.2</v>
      </c>
      <c r="G27" s="132" t="s">
        <v>393</v>
      </c>
      <c r="H27" s="106">
        <v>419.16671999999994</v>
      </c>
      <c r="I27" s="107">
        <v>1620.7234049999997</v>
      </c>
      <c r="J27" s="103" t="s">
        <v>35</v>
      </c>
      <c r="K27" s="109">
        <v>2900.0</v>
      </c>
      <c r="L27" s="109">
        <v>58.0</v>
      </c>
      <c r="M27" s="110">
        <f t="shared" si="6"/>
        <v>0.070656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77"/>
      <c r="B28" s="112" t="s">
        <v>400</v>
      </c>
      <c r="C28" s="103">
        <v>18.5</v>
      </c>
      <c r="D28" s="104">
        <v>25.0</v>
      </c>
      <c r="E28" s="103">
        <v>27.0</v>
      </c>
      <c r="F28" s="104">
        <v>80.7</v>
      </c>
      <c r="G28" s="132" t="s">
        <v>393</v>
      </c>
      <c r="H28" s="106">
        <v>421.6227749999999</v>
      </c>
      <c r="I28" s="107">
        <v>1753.1164649999996</v>
      </c>
      <c r="J28" s="103" t="s">
        <v>35</v>
      </c>
      <c r="K28" s="109">
        <v>2900.0</v>
      </c>
      <c r="L28" s="109">
        <v>58.0</v>
      </c>
      <c r="M28" s="110">
        <f t="shared" si="6"/>
        <v>0.070656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77"/>
      <c r="B29" s="112" t="s">
        <v>401</v>
      </c>
      <c r="C29" s="103">
        <v>18.5</v>
      </c>
      <c r="D29" s="104">
        <v>25.0</v>
      </c>
      <c r="E29" s="103">
        <v>27.0</v>
      </c>
      <c r="F29" s="104">
        <v>92.5</v>
      </c>
      <c r="G29" s="132" t="s">
        <v>393</v>
      </c>
      <c r="H29" s="106">
        <v>730.8128099999999</v>
      </c>
      <c r="I29" s="107">
        <v>2071.8578249999996</v>
      </c>
      <c r="J29" s="103" t="s">
        <v>35</v>
      </c>
      <c r="K29" s="109">
        <v>2900.0</v>
      </c>
      <c r="L29" s="109">
        <v>82.0</v>
      </c>
      <c r="M29" s="110">
        <f t="shared" ref="M29:M33" si="7">0.65*0.38*0.46</f>
        <v>0.11362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77"/>
      <c r="B30" s="112" t="s">
        <v>402</v>
      </c>
      <c r="C30" s="103">
        <v>22.0</v>
      </c>
      <c r="D30" s="104">
        <v>30.0</v>
      </c>
      <c r="E30" s="103">
        <v>27.0</v>
      </c>
      <c r="F30" s="104">
        <v>103.5</v>
      </c>
      <c r="G30" s="132" t="s">
        <v>393</v>
      </c>
      <c r="H30" s="106">
        <v>733.5417599999998</v>
      </c>
      <c r="I30" s="107">
        <v>2405.4914549999994</v>
      </c>
      <c r="J30" s="103" t="s">
        <v>35</v>
      </c>
      <c r="K30" s="109">
        <v>2900.0</v>
      </c>
      <c r="L30" s="109">
        <v>82.0</v>
      </c>
      <c r="M30" s="110">
        <f t="shared" si="7"/>
        <v>0.11362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77"/>
      <c r="B31" s="112" t="s">
        <v>403</v>
      </c>
      <c r="C31" s="103">
        <v>30.0</v>
      </c>
      <c r="D31" s="104">
        <f>C31/0.75</f>
        <v>40</v>
      </c>
      <c r="E31" s="103">
        <v>27.0</v>
      </c>
      <c r="F31" s="104">
        <v>117.0</v>
      </c>
      <c r="G31" s="132" t="s">
        <v>393</v>
      </c>
      <c r="H31" s="106">
        <v>736.543605</v>
      </c>
      <c r="I31" s="107">
        <v>2978.6099399999994</v>
      </c>
      <c r="J31" s="103" t="s">
        <v>35</v>
      </c>
      <c r="K31" s="109">
        <v>2900.0</v>
      </c>
      <c r="L31" s="109">
        <v>82.0</v>
      </c>
      <c r="M31" s="110">
        <f t="shared" si="7"/>
        <v>0.11362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77"/>
      <c r="B32" s="112" t="s">
        <v>404</v>
      </c>
      <c r="C32" s="103">
        <v>37.0</v>
      </c>
      <c r="D32" s="104">
        <v>50.0</v>
      </c>
      <c r="E32" s="103">
        <v>27.0</v>
      </c>
      <c r="F32" s="104">
        <v>142.0</v>
      </c>
      <c r="G32" s="132" t="s">
        <v>393</v>
      </c>
      <c r="H32" s="106">
        <v>739.2725549999999</v>
      </c>
      <c r="I32" s="107">
        <v>3104.8433699999996</v>
      </c>
      <c r="J32" s="103" t="s">
        <v>35</v>
      </c>
      <c r="K32" s="109">
        <v>2900.0</v>
      </c>
      <c r="L32" s="109">
        <v>82.0</v>
      </c>
      <c r="M32" s="110">
        <f t="shared" si="7"/>
        <v>0.11362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77"/>
      <c r="B33" s="112" t="s">
        <v>405</v>
      </c>
      <c r="C33" s="103">
        <v>45.0</v>
      </c>
      <c r="D33" s="104">
        <v>60.0</v>
      </c>
      <c r="E33" s="103">
        <v>27.0</v>
      </c>
      <c r="F33" s="104">
        <v>159.0</v>
      </c>
      <c r="G33" s="132" t="s">
        <v>393</v>
      </c>
      <c r="H33" s="156" t="s">
        <v>80</v>
      </c>
      <c r="I33" s="157" t="s">
        <v>80</v>
      </c>
      <c r="J33" s="103" t="s">
        <v>35</v>
      </c>
      <c r="K33" s="109">
        <v>2900.0</v>
      </c>
      <c r="L33" s="109">
        <v>82.0</v>
      </c>
      <c r="M33" s="110">
        <f t="shared" si="7"/>
        <v>0.11362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8.0" customHeight="1">
      <c r="A34" s="153"/>
      <c r="B34" s="112" t="s">
        <v>406</v>
      </c>
      <c r="C34" s="103">
        <v>2.2</v>
      </c>
      <c r="D34" s="104">
        <v>3.0</v>
      </c>
      <c r="E34" s="103">
        <v>48.0</v>
      </c>
      <c r="F34" s="104">
        <v>12.8</v>
      </c>
      <c r="G34" s="132" t="s">
        <v>407</v>
      </c>
      <c r="H34" s="106">
        <v>327.74689499999994</v>
      </c>
      <c r="I34" s="107">
        <v>637.2098249999998</v>
      </c>
      <c r="J34" s="103" t="s">
        <v>35</v>
      </c>
      <c r="K34" s="109">
        <v>2900.0</v>
      </c>
      <c r="L34" s="109">
        <v>35.0</v>
      </c>
      <c r="M34" s="110">
        <f t="shared" ref="M34:M36" si="8">0.5*0.26*0.34</f>
        <v>0.0442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8.0" customHeight="1">
      <c r="A35" s="158"/>
      <c r="B35" s="112" t="s">
        <v>408</v>
      </c>
      <c r="C35" s="103">
        <v>3.0</v>
      </c>
      <c r="D35" s="104">
        <f>C35/0.75</f>
        <v>4</v>
      </c>
      <c r="E35" s="103">
        <v>48.0</v>
      </c>
      <c r="F35" s="104">
        <v>17.0</v>
      </c>
      <c r="G35" s="132" t="s">
        <v>407</v>
      </c>
      <c r="H35" s="106">
        <v>330.475845</v>
      </c>
      <c r="I35" s="107">
        <v>725.0820149999998</v>
      </c>
      <c r="J35" s="103" t="s">
        <v>35</v>
      </c>
      <c r="K35" s="109">
        <v>2900.0</v>
      </c>
      <c r="L35" s="109">
        <v>35.0</v>
      </c>
      <c r="M35" s="110">
        <f t="shared" si="8"/>
        <v>0.0442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8.0" customHeight="1">
      <c r="A36" s="77"/>
      <c r="B36" s="112" t="s">
        <v>409</v>
      </c>
      <c r="C36" s="103">
        <v>4.0</v>
      </c>
      <c r="D36" s="104">
        <v>5.5</v>
      </c>
      <c r="E36" s="103">
        <v>54.0</v>
      </c>
      <c r="F36" s="104">
        <v>20.3</v>
      </c>
      <c r="G36" s="132" t="s">
        <v>407</v>
      </c>
      <c r="H36" s="106">
        <v>332.6590049999999</v>
      </c>
      <c r="I36" s="107">
        <v>798.2568599999998</v>
      </c>
      <c r="J36" s="103" t="s">
        <v>35</v>
      </c>
      <c r="K36" s="109">
        <v>2900.0</v>
      </c>
      <c r="L36" s="109">
        <v>35.0</v>
      </c>
      <c r="M36" s="110">
        <f t="shared" si="8"/>
        <v>0.0442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8.0" customHeight="1">
      <c r="A37" s="77"/>
      <c r="B37" s="112" t="s">
        <v>410</v>
      </c>
      <c r="C37" s="103">
        <v>5.5</v>
      </c>
      <c r="D37" s="104">
        <v>7.5</v>
      </c>
      <c r="E37" s="103">
        <v>54.0</v>
      </c>
      <c r="F37" s="104">
        <v>26.6</v>
      </c>
      <c r="G37" s="132" t="s">
        <v>407</v>
      </c>
      <c r="H37" s="106">
        <v>371.41009499999996</v>
      </c>
      <c r="I37" s="107">
        <v>998.9516399999998</v>
      </c>
      <c r="J37" s="103" t="s">
        <v>35</v>
      </c>
      <c r="K37" s="109">
        <v>2900.0</v>
      </c>
      <c r="L37" s="109">
        <v>38.0</v>
      </c>
      <c r="M37" s="110">
        <f t="shared" ref="M37:M38" si="9">0.48*0.28*0.4</f>
        <v>0.05376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8.0" customHeight="1">
      <c r="A38" s="77"/>
      <c r="B38" s="112" t="s">
        <v>411</v>
      </c>
      <c r="C38" s="103">
        <v>7.5</v>
      </c>
      <c r="D38" s="104">
        <f>C38/0.75</f>
        <v>10</v>
      </c>
      <c r="E38" s="103">
        <v>54.0</v>
      </c>
      <c r="F38" s="104">
        <v>34.4</v>
      </c>
      <c r="G38" s="132" t="s">
        <v>407</v>
      </c>
      <c r="H38" s="106">
        <v>373.5932549999999</v>
      </c>
      <c r="I38" s="107">
        <v>1030.724415</v>
      </c>
      <c r="J38" s="103" t="s">
        <v>35</v>
      </c>
      <c r="K38" s="109">
        <v>2900.0</v>
      </c>
      <c r="L38" s="109">
        <v>38.0</v>
      </c>
      <c r="M38" s="110">
        <f t="shared" si="9"/>
        <v>0.05376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8.0" customHeight="1">
      <c r="A39" s="77"/>
      <c r="B39" s="112" t="s">
        <v>412</v>
      </c>
      <c r="C39" s="103">
        <v>9.2</v>
      </c>
      <c r="D39" s="104">
        <v>12.5</v>
      </c>
      <c r="E39" s="103">
        <v>54.0</v>
      </c>
      <c r="F39" s="104">
        <v>40.9</v>
      </c>
      <c r="G39" s="132" t="s">
        <v>407</v>
      </c>
      <c r="H39" s="106">
        <v>401.9743349999999</v>
      </c>
      <c r="I39" s="107">
        <v>1339.9144499999998</v>
      </c>
      <c r="J39" s="103" t="s">
        <v>35</v>
      </c>
      <c r="K39" s="109">
        <v>2900.0</v>
      </c>
      <c r="L39" s="109">
        <v>45.0</v>
      </c>
      <c r="M39" s="110">
        <f t="shared" ref="M39:M41" si="10">48*28*38/1000000</f>
        <v>0.051072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8.0" customHeight="1">
      <c r="A40" s="77"/>
      <c r="B40" s="112" t="s">
        <v>413</v>
      </c>
      <c r="C40" s="103">
        <v>11.0</v>
      </c>
      <c r="D40" s="104">
        <v>15.0</v>
      </c>
      <c r="E40" s="103">
        <v>54.0</v>
      </c>
      <c r="F40" s="104">
        <v>47.5</v>
      </c>
      <c r="G40" s="132" t="s">
        <v>407</v>
      </c>
      <c r="H40" s="106">
        <v>405.52196999999995</v>
      </c>
      <c r="I40" s="107">
        <v>1533.5919299999998</v>
      </c>
      <c r="J40" s="103" t="s">
        <v>35</v>
      </c>
      <c r="K40" s="109">
        <v>2900.0</v>
      </c>
      <c r="L40" s="109">
        <v>45.0</v>
      </c>
      <c r="M40" s="110">
        <f t="shared" si="10"/>
        <v>0.051072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18.0" customHeight="1">
      <c r="A41" s="77"/>
      <c r="B41" s="112" t="s">
        <v>414</v>
      </c>
      <c r="C41" s="103">
        <v>15.0</v>
      </c>
      <c r="D41" s="104">
        <f t="shared" ref="D41:D42" si="11">C41/0.75</f>
        <v>20</v>
      </c>
      <c r="E41" s="103">
        <v>54.0</v>
      </c>
      <c r="F41" s="104">
        <v>52.0</v>
      </c>
      <c r="G41" s="132" t="s">
        <v>407</v>
      </c>
      <c r="H41" s="106">
        <v>409.88829</v>
      </c>
      <c r="I41" s="107">
        <v>1610.8991849999998</v>
      </c>
      <c r="J41" s="103" t="s">
        <v>35</v>
      </c>
      <c r="K41" s="109">
        <v>2900.0</v>
      </c>
      <c r="L41" s="109">
        <v>46.0</v>
      </c>
      <c r="M41" s="110">
        <f t="shared" si="10"/>
        <v>0.051072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8.0" customHeight="1">
      <c r="A42" s="77"/>
      <c r="B42" s="112" t="s">
        <v>415</v>
      </c>
      <c r="C42" s="103">
        <v>15.0</v>
      </c>
      <c r="D42" s="104">
        <f t="shared" si="11"/>
        <v>20</v>
      </c>
      <c r="E42" s="103">
        <v>54.0</v>
      </c>
      <c r="F42" s="104">
        <v>59.0</v>
      </c>
      <c r="G42" s="132" t="s">
        <v>407</v>
      </c>
      <c r="H42" s="106">
        <v>428.9909399999999</v>
      </c>
      <c r="I42" s="107">
        <v>1633.6664249999997</v>
      </c>
      <c r="J42" s="103" t="s">
        <v>35</v>
      </c>
      <c r="K42" s="109">
        <v>2900.0</v>
      </c>
      <c r="L42" s="109">
        <v>50.0</v>
      </c>
      <c r="M42" s="110">
        <f t="shared" ref="M42:M45" si="12">48*32*46/1000000</f>
        <v>0.070656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8.0" customHeight="1">
      <c r="A43" s="77"/>
      <c r="B43" s="112" t="s">
        <v>416</v>
      </c>
      <c r="C43" s="103">
        <v>18.5</v>
      </c>
      <c r="D43" s="104">
        <v>25.0</v>
      </c>
      <c r="E43" s="103">
        <v>54.0</v>
      </c>
      <c r="F43" s="104">
        <v>71.5</v>
      </c>
      <c r="G43" s="132" t="s">
        <v>407</v>
      </c>
      <c r="H43" s="106">
        <v>431.17409999999995</v>
      </c>
      <c r="I43" s="107">
        <v>1765.7476049999998</v>
      </c>
      <c r="J43" s="103" t="s">
        <v>35</v>
      </c>
      <c r="K43" s="109">
        <v>2900.0</v>
      </c>
      <c r="L43" s="109">
        <v>50.0</v>
      </c>
      <c r="M43" s="110">
        <f t="shared" si="12"/>
        <v>0.070656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8.0" customHeight="1">
      <c r="A44" s="158"/>
      <c r="B44" s="112" t="s">
        <v>417</v>
      </c>
      <c r="C44" s="103">
        <v>22.0</v>
      </c>
      <c r="D44" s="104">
        <v>30.0</v>
      </c>
      <c r="E44" s="103">
        <v>54.0</v>
      </c>
      <c r="F44" s="104">
        <v>81.5</v>
      </c>
      <c r="G44" s="132" t="s">
        <v>407</v>
      </c>
      <c r="H44" s="106">
        <v>433.6301549999999</v>
      </c>
      <c r="I44" s="107">
        <v>2079.4598999999994</v>
      </c>
      <c r="J44" s="103" t="s">
        <v>35</v>
      </c>
      <c r="K44" s="109">
        <v>2900.0</v>
      </c>
      <c r="L44" s="109">
        <v>50.0</v>
      </c>
      <c r="M44" s="110">
        <f t="shared" si="12"/>
        <v>0.070656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8.0" customHeight="1">
      <c r="A45" s="77"/>
      <c r="B45" s="112" t="s">
        <v>418</v>
      </c>
      <c r="C45" s="103">
        <v>30.0</v>
      </c>
      <c r="D45" s="104">
        <f t="shared" ref="D45:D46" si="13">C45/0.75</f>
        <v>40</v>
      </c>
      <c r="E45" s="103">
        <v>54.0</v>
      </c>
      <c r="F45" s="104">
        <v>87.5</v>
      </c>
      <c r="G45" s="132" t="s">
        <v>407</v>
      </c>
      <c r="H45" s="106">
        <v>435.81331499999993</v>
      </c>
      <c r="I45" s="107">
        <v>2668.874114999999</v>
      </c>
      <c r="J45" s="103" t="s">
        <v>35</v>
      </c>
      <c r="K45" s="109">
        <v>2900.0</v>
      </c>
      <c r="L45" s="109">
        <v>50.0</v>
      </c>
      <c r="M45" s="110">
        <f t="shared" si="12"/>
        <v>0.070656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8.0" customHeight="1">
      <c r="A46" s="77"/>
      <c r="B46" s="112" t="s">
        <v>419</v>
      </c>
      <c r="C46" s="103">
        <v>30.0</v>
      </c>
      <c r="D46" s="104">
        <f t="shared" si="13"/>
        <v>40</v>
      </c>
      <c r="E46" s="103">
        <v>54.0</v>
      </c>
      <c r="F46" s="104">
        <v>88.0</v>
      </c>
      <c r="G46" s="132" t="s">
        <v>407</v>
      </c>
      <c r="H46" s="106">
        <v>745.0033499999998</v>
      </c>
      <c r="I46" s="107">
        <v>2987.3425799999995</v>
      </c>
      <c r="J46" s="103" t="s">
        <v>35</v>
      </c>
      <c r="K46" s="109">
        <v>2900.0</v>
      </c>
      <c r="L46" s="109">
        <v>90.0</v>
      </c>
      <c r="M46" s="110">
        <v>0.128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8.0" customHeight="1">
      <c r="A47" s="77"/>
      <c r="B47" s="112" t="s">
        <v>420</v>
      </c>
      <c r="C47" s="103">
        <v>37.0</v>
      </c>
      <c r="D47" s="104">
        <v>50.0</v>
      </c>
      <c r="E47" s="103">
        <v>54.0</v>
      </c>
      <c r="F47" s="104">
        <v>105.0</v>
      </c>
      <c r="G47" s="132" t="s">
        <v>407</v>
      </c>
      <c r="H47" s="106">
        <v>748.005195</v>
      </c>
      <c r="I47" s="107">
        <v>3113.8099199999997</v>
      </c>
      <c r="J47" s="103" t="s">
        <v>35</v>
      </c>
      <c r="K47" s="109">
        <v>2900.0</v>
      </c>
      <c r="L47" s="109">
        <v>90.0</v>
      </c>
      <c r="M47" s="110">
        <v>0.128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8.0" customHeight="1">
      <c r="A48" s="77"/>
      <c r="B48" s="112" t="s">
        <v>421</v>
      </c>
      <c r="C48" s="103">
        <v>45.0</v>
      </c>
      <c r="D48" s="104">
        <v>60.0</v>
      </c>
      <c r="E48" s="103">
        <v>54.0</v>
      </c>
      <c r="F48" s="104">
        <v>123.0</v>
      </c>
      <c r="G48" s="132" t="s">
        <v>407</v>
      </c>
      <c r="H48" s="156" t="s">
        <v>80</v>
      </c>
      <c r="I48" s="157" t="s">
        <v>80</v>
      </c>
      <c r="J48" s="103" t="s">
        <v>35</v>
      </c>
      <c r="K48" s="109">
        <v>2900.0</v>
      </c>
      <c r="L48" s="109">
        <v>90.0</v>
      </c>
      <c r="M48" s="110">
        <v>0.128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8.0" customHeight="1">
      <c r="A49" s="77"/>
      <c r="B49" s="112" t="s">
        <v>422</v>
      </c>
      <c r="C49" s="103">
        <v>55.0</v>
      </c>
      <c r="D49" s="104">
        <v>75.0</v>
      </c>
      <c r="E49" s="103">
        <v>54.0</v>
      </c>
      <c r="F49" s="104">
        <v>137.0</v>
      </c>
      <c r="G49" s="132" t="s">
        <v>407</v>
      </c>
      <c r="H49" s="156" t="s">
        <v>80</v>
      </c>
      <c r="I49" s="157" t="s">
        <v>80</v>
      </c>
      <c r="J49" s="103" t="s">
        <v>35</v>
      </c>
      <c r="K49" s="109">
        <v>2900.0</v>
      </c>
      <c r="L49" s="109">
        <v>90.0</v>
      </c>
      <c r="M49" s="110">
        <v>0.128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8.0" customHeight="1">
      <c r="A50" s="77"/>
      <c r="B50" s="112" t="s">
        <v>423</v>
      </c>
      <c r="C50" s="103">
        <v>75.0</v>
      </c>
      <c r="D50" s="104">
        <v>100.0</v>
      </c>
      <c r="E50" s="103">
        <v>54.0</v>
      </c>
      <c r="F50" s="104">
        <v>155.0</v>
      </c>
      <c r="G50" s="132" t="s">
        <v>407</v>
      </c>
      <c r="H50" s="156" t="s">
        <v>80</v>
      </c>
      <c r="I50" s="157" t="s">
        <v>80</v>
      </c>
      <c r="J50" s="103" t="s">
        <v>35</v>
      </c>
      <c r="K50" s="109">
        <v>2900.0</v>
      </c>
      <c r="L50" s="109">
        <v>90.0</v>
      </c>
      <c r="M50" s="110">
        <v>0.128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8.0" customHeight="1">
      <c r="A51" s="77"/>
      <c r="B51" s="112" t="s">
        <v>424</v>
      </c>
      <c r="C51" s="103">
        <v>4.0</v>
      </c>
      <c r="D51" s="104">
        <v>5.5</v>
      </c>
      <c r="E51" s="103">
        <v>54.0</v>
      </c>
      <c r="F51" s="104">
        <v>16.8</v>
      </c>
      <c r="G51" s="132" t="s">
        <v>425</v>
      </c>
      <c r="H51" s="106">
        <v>387.78379499999994</v>
      </c>
      <c r="I51" s="107">
        <v>873.0300899999999</v>
      </c>
      <c r="J51" s="103" t="s">
        <v>35</v>
      </c>
      <c r="K51" s="109">
        <v>2900.0</v>
      </c>
      <c r="L51" s="109">
        <v>42.0</v>
      </c>
      <c r="M51" s="110">
        <f t="shared" ref="M51:M53" si="14">0.48*0.3*0.38</f>
        <v>0.05472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8.0" customHeight="1">
      <c r="A52" s="77"/>
      <c r="B52" s="112" t="s">
        <v>426</v>
      </c>
      <c r="C52" s="103">
        <v>5.5</v>
      </c>
      <c r="D52" s="104">
        <v>7.5</v>
      </c>
      <c r="E52" s="103">
        <v>72.0</v>
      </c>
      <c r="F52" s="104">
        <v>19.0</v>
      </c>
      <c r="G52" s="132" t="s">
        <v>425</v>
      </c>
      <c r="H52" s="106">
        <v>389.421165</v>
      </c>
      <c r="I52" s="107">
        <v>1017.5084999999998</v>
      </c>
      <c r="J52" s="103" t="s">
        <v>35</v>
      </c>
      <c r="K52" s="109">
        <v>2900.0</v>
      </c>
      <c r="L52" s="109">
        <v>42.0</v>
      </c>
      <c r="M52" s="110">
        <f t="shared" si="14"/>
        <v>0.05472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8.0" customHeight="1">
      <c r="A53" s="77"/>
      <c r="B53" s="112" t="s">
        <v>427</v>
      </c>
      <c r="C53" s="103">
        <v>7.5</v>
      </c>
      <c r="D53" s="104">
        <f>C53/0.75</f>
        <v>10</v>
      </c>
      <c r="E53" s="103">
        <v>72.0</v>
      </c>
      <c r="F53" s="104">
        <v>24.5</v>
      </c>
      <c r="G53" s="132" t="s">
        <v>425</v>
      </c>
      <c r="H53" s="106">
        <v>391.33142999999995</v>
      </c>
      <c r="I53" s="107">
        <v>1049.00838</v>
      </c>
      <c r="J53" s="103" t="s">
        <v>35</v>
      </c>
      <c r="K53" s="109">
        <v>2900.0</v>
      </c>
      <c r="L53" s="109">
        <v>42.0</v>
      </c>
      <c r="M53" s="110">
        <f t="shared" si="14"/>
        <v>0.05472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8.0" customHeight="1">
      <c r="A54" s="77"/>
      <c r="B54" s="112" t="s">
        <v>428</v>
      </c>
      <c r="C54" s="103">
        <v>9.2</v>
      </c>
      <c r="D54" s="104">
        <v>12.5</v>
      </c>
      <c r="E54" s="103">
        <v>84.0</v>
      </c>
      <c r="F54" s="104">
        <v>28.0</v>
      </c>
      <c r="G54" s="132" t="s">
        <v>425</v>
      </c>
      <c r="H54" s="106">
        <v>476.74756499999995</v>
      </c>
      <c r="I54" s="107">
        <v>1451.2166249999996</v>
      </c>
      <c r="J54" s="103" t="s">
        <v>35</v>
      </c>
      <c r="K54" s="109">
        <v>2900.0</v>
      </c>
      <c r="L54" s="109">
        <v>45.0</v>
      </c>
      <c r="M54" s="110">
        <f t="shared" ref="M54:M56" si="15">0.48*0.3*0.42</f>
        <v>0.06048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8.0" customHeight="1">
      <c r="A55" s="77"/>
      <c r="B55" s="112" t="s">
        <v>429</v>
      </c>
      <c r="C55" s="103">
        <v>11.0</v>
      </c>
      <c r="D55" s="104">
        <v>15.0</v>
      </c>
      <c r="E55" s="103">
        <v>84.0</v>
      </c>
      <c r="F55" s="104">
        <v>31.5</v>
      </c>
      <c r="G55" s="132" t="s">
        <v>425</v>
      </c>
      <c r="H55" s="106">
        <v>479.2036199999999</v>
      </c>
      <c r="I55" s="107">
        <v>1609.4567399999996</v>
      </c>
      <c r="J55" s="103" t="s">
        <v>35</v>
      </c>
      <c r="K55" s="109">
        <v>2900.0</v>
      </c>
      <c r="L55" s="109">
        <v>45.0</v>
      </c>
      <c r="M55" s="110">
        <f t="shared" si="15"/>
        <v>0.06048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8.0" customHeight="1">
      <c r="A56" s="77"/>
      <c r="B56" s="112" t="s">
        <v>430</v>
      </c>
      <c r="C56" s="103">
        <v>15.0</v>
      </c>
      <c r="D56" s="104">
        <f t="shared" ref="D56:D57" si="16">C56/0.75</f>
        <v>20</v>
      </c>
      <c r="E56" s="103">
        <v>84.0</v>
      </c>
      <c r="F56" s="104">
        <v>38.5</v>
      </c>
      <c r="G56" s="132" t="s">
        <v>425</v>
      </c>
      <c r="H56" s="106">
        <v>481.38677999999993</v>
      </c>
      <c r="I56" s="107">
        <v>1684.5418499999996</v>
      </c>
      <c r="J56" s="103" t="s">
        <v>35</v>
      </c>
      <c r="K56" s="109">
        <v>2900.0</v>
      </c>
      <c r="L56" s="109">
        <v>45.0</v>
      </c>
      <c r="M56" s="110">
        <f t="shared" si="15"/>
        <v>0.06048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8.0" customHeight="1">
      <c r="A57" s="77"/>
      <c r="B57" s="112" t="s">
        <v>431</v>
      </c>
      <c r="C57" s="103">
        <v>15.0</v>
      </c>
      <c r="D57" s="104">
        <f t="shared" si="16"/>
        <v>20</v>
      </c>
      <c r="E57" s="103">
        <v>84.0</v>
      </c>
      <c r="F57" s="104">
        <v>41.0</v>
      </c>
      <c r="G57" s="132" t="s">
        <v>425</v>
      </c>
      <c r="H57" s="106">
        <v>514.1341799999999</v>
      </c>
      <c r="I57" s="107">
        <v>1718.2638749999996</v>
      </c>
      <c r="J57" s="103" t="s">
        <v>35</v>
      </c>
      <c r="K57" s="109">
        <v>2900.0</v>
      </c>
      <c r="L57" s="109">
        <v>50.0</v>
      </c>
      <c r="M57" s="110">
        <f t="shared" ref="M57:M59" si="17">48*34*42/1000000</f>
        <v>0.068544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8.0" customHeight="1">
      <c r="A58" s="77"/>
      <c r="B58" s="112" t="s">
        <v>432</v>
      </c>
      <c r="C58" s="103">
        <v>18.5</v>
      </c>
      <c r="D58" s="104">
        <v>25.0</v>
      </c>
      <c r="E58" s="103">
        <v>84.0</v>
      </c>
      <c r="F58" s="104">
        <v>49.0</v>
      </c>
      <c r="G58" s="132" t="s">
        <v>425</v>
      </c>
      <c r="H58" s="106">
        <v>516.86313</v>
      </c>
      <c r="I58" s="107">
        <v>1854.0096449999996</v>
      </c>
      <c r="J58" s="103" t="s">
        <v>35</v>
      </c>
      <c r="K58" s="109">
        <v>2900.0</v>
      </c>
      <c r="L58" s="109">
        <v>50.0</v>
      </c>
      <c r="M58" s="110">
        <f t="shared" si="17"/>
        <v>0.068544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8.0" customHeight="1">
      <c r="A59" s="77"/>
      <c r="B59" s="112" t="s">
        <v>433</v>
      </c>
      <c r="C59" s="103">
        <v>22.0</v>
      </c>
      <c r="D59" s="104">
        <v>30.0</v>
      </c>
      <c r="E59" s="103">
        <v>90.0</v>
      </c>
      <c r="F59" s="104">
        <v>55.0</v>
      </c>
      <c r="G59" s="132" t="s">
        <v>425</v>
      </c>
      <c r="H59" s="106">
        <v>519.8649749999998</v>
      </c>
      <c r="I59" s="107">
        <v>2197.7793749999996</v>
      </c>
      <c r="J59" s="103" t="s">
        <v>35</v>
      </c>
      <c r="K59" s="109">
        <v>2900.0</v>
      </c>
      <c r="L59" s="109">
        <v>50.0</v>
      </c>
      <c r="M59" s="110">
        <f t="shared" si="17"/>
        <v>0.068544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8.0" customHeight="1">
      <c r="A60" s="77"/>
      <c r="B60" s="159" t="s">
        <v>434</v>
      </c>
      <c r="C60" s="160">
        <v>22.0</v>
      </c>
      <c r="D60" s="161">
        <v>30.0</v>
      </c>
      <c r="E60" s="160">
        <v>90.0</v>
      </c>
      <c r="F60" s="161">
        <v>58.5</v>
      </c>
      <c r="G60" s="162" t="s">
        <v>425</v>
      </c>
      <c r="H60" s="106">
        <v>538.6947299999999</v>
      </c>
      <c r="I60" s="107">
        <v>2214.3479999999995</v>
      </c>
      <c r="J60" s="103" t="s">
        <v>35</v>
      </c>
      <c r="K60" s="109">
        <v>2900.0</v>
      </c>
      <c r="L60" s="109">
        <v>71.0</v>
      </c>
      <c r="M60" s="110">
        <f t="shared" ref="M60:M62" si="18">59*36*50/1000000</f>
        <v>0.1062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8.0" customHeight="1">
      <c r="A61" s="77"/>
      <c r="B61" s="112" t="s">
        <v>435</v>
      </c>
      <c r="C61" s="103">
        <v>30.0</v>
      </c>
      <c r="D61" s="104">
        <f>C61/0.75</f>
        <v>40</v>
      </c>
      <c r="E61" s="103">
        <v>90.0</v>
      </c>
      <c r="F61" s="104">
        <v>74.5</v>
      </c>
      <c r="G61" s="132" t="s">
        <v>425</v>
      </c>
      <c r="H61" s="106">
        <v>541.6965749999999</v>
      </c>
      <c r="I61" s="107">
        <v>2786.6477999999997</v>
      </c>
      <c r="J61" s="103" t="s">
        <v>35</v>
      </c>
      <c r="K61" s="109">
        <v>2900.0</v>
      </c>
      <c r="L61" s="109">
        <v>71.0</v>
      </c>
      <c r="M61" s="110">
        <f t="shared" si="18"/>
        <v>0.1062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8.0" customHeight="1">
      <c r="A62" s="77"/>
      <c r="B62" s="112" t="s">
        <v>436</v>
      </c>
      <c r="C62" s="103">
        <v>37.0</v>
      </c>
      <c r="D62" s="104">
        <v>50.0</v>
      </c>
      <c r="E62" s="103">
        <v>90.0</v>
      </c>
      <c r="F62" s="104">
        <v>85.0</v>
      </c>
      <c r="G62" s="132" t="s">
        <v>425</v>
      </c>
      <c r="H62" s="106">
        <v>544.4255249999999</v>
      </c>
      <c r="I62" s="107">
        <v>2913.1151399999994</v>
      </c>
      <c r="J62" s="103" t="s">
        <v>35</v>
      </c>
      <c r="K62" s="109">
        <v>2900.0</v>
      </c>
      <c r="L62" s="109">
        <v>71.0</v>
      </c>
      <c r="M62" s="110">
        <f t="shared" si="18"/>
        <v>0.1062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8.0" customHeight="1">
      <c r="A63" s="77"/>
      <c r="B63" s="112" t="s">
        <v>437</v>
      </c>
      <c r="C63" s="103">
        <v>45.0</v>
      </c>
      <c r="D63" s="104">
        <v>60.0</v>
      </c>
      <c r="E63" s="103">
        <v>90.0</v>
      </c>
      <c r="F63" s="104">
        <v>94.5</v>
      </c>
      <c r="G63" s="132" t="s">
        <v>425</v>
      </c>
      <c r="H63" s="156" t="s">
        <v>80</v>
      </c>
      <c r="I63" s="157" t="s">
        <v>80</v>
      </c>
      <c r="J63" s="103" t="s">
        <v>35</v>
      </c>
      <c r="K63" s="109">
        <v>2900.0</v>
      </c>
      <c r="L63" s="109">
        <v>118.0</v>
      </c>
      <c r="M63" s="110">
        <v>0.202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8.0" customHeight="1">
      <c r="A64" s="77"/>
      <c r="B64" s="112" t="s">
        <v>438</v>
      </c>
      <c r="C64" s="103">
        <v>55.0</v>
      </c>
      <c r="D64" s="104">
        <v>75.0</v>
      </c>
      <c r="E64" s="103">
        <v>120.0</v>
      </c>
      <c r="F64" s="104">
        <v>110.0</v>
      </c>
      <c r="G64" s="132" t="s">
        <v>425</v>
      </c>
      <c r="H64" s="156" t="s">
        <v>80</v>
      </c>
      <c r="I64" s="157" t="s">
        <v>80</v>
      </c>
      <c r="J64" s="103" t="s">
        <v>35</v>
      </c>
      <c r="K64" s="109">
        <v>2900.0</v>
      </c>
      <c r="L64" s="109">
        <v>119.0</v>
      </c>
      <c r="M64" s="110">
        <v>0.202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8.0" customHeight="1">
      <c r="A65" s="77"/>
      <c r="B65" s="112" t="s">
        <v>439</v>
      </c>
      <c r="C65" s="103">
        <v>75.0</v>
      </c>
      <c r="D65" s="104">
        <v>100.0</v>
      </c>
      <c r="E65" s="103">
        <v>144.0</v>
      </c>
      <c r="F65" s="104">
        <v>120.0</v>
      </c>
      <c r="G65" s="132" t="s">
        <v>425</v>
      </c>
      <c r="H65" s="156" t="s">
        <v>80</v>
      </c>
      <c r="I65" s="157" t="s">
        <v>80</v>
      </c>
      <c r="J65" s="103" t="s">
        <v>35</v>
      </c>
      <c r="K65" s="109">
        <v>2900.0</v>
      </c>
      <c r="L65" s="109">
        <v>120.0</v>
      </c>
      <c r="M65" s="110">
        <v>0.202</v>
      </c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ht="18.0" customHeight="1">
      <c r="A66" s="77"/>
      <c r="B66" s="112" t="s">
        <v>440</v>
      </c>
      <c r="C66" s="103">
        <v>90.0</v>
      </c>
      <c r="D66" s="104">
        <v>125.0</v>
      </c>
      <c r="E66" s="103">
        <v>144.0</v>
      </c>
      <c r="F66" s="104">
        <v>130.0</v>
      </c>
      <c r="G66" s="132" t="s">
        <v>425</v>
      </c>
      <c r="H66" s="156" t="s">
        <v>80</v>
      </c>
      <c r="I66" s="157" t="s">
        <v>80</v>
      </c>
      <c r="J66" s="103" t="s">
        <v>35</v>
      </c>
      <c r="K66" s="109">
        <v>2900.0</v>
      </c>
      <c r="L66" s="109">
        <v>120.0</v>
      </c>
      <c r="M66" s="110">
        <v>0.202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ht="18.0" customHeight="1">
      <c r="A67" s="77"/>
      <c r="B67" s="112" t="s">
        <v>441</v>
      </c>
      <c r="C67" s="103">
        <v>4.0</v>
      </c>
      <c r="D67" s="104">
        <v>5.5</v>
      </c>
      <c r="E67" s="103">
        <v>60.0</v>
      </c>
      <c r="F67" s="104">
        <v>15.0</v>
      </c>
      <c r="G67" s="132" t="s">
        <v>442</v>
      </c>
      <c r="H67" s="106">
        <v>390.78563999999994</v>
      </c>
      <c r="I67" s="107">
        <v>876.1488899999998</v>
      </c>
      <c r="J67" s="103" t="s">
        <v>35</v>
      </c>
      <c r="K67" s="109">
        <v>2900.0</v>
      </c>
      <c r="L67" s="109">
        <v>46.0</v>
      </c>
      <c r="M67" s="110">
        <f t="shared" ref="M67:M69" si="19">0.48*0.3*0.42</f>
        <v>0.06048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ht="18.0" customHeight="1">
      <c r="A68" s="77"/>
      <c r="B68" s="112" t="s">
        <v>443</v>
      </c>
      <c r="C68" s="103">
        <v>5.5</v>
      </c>
      <c r="D68" s="104">
        <v>7.5</v>
      </c>
      <c r="E68" s="103">
        <v>90.0</v>
      </c>
      <c r="F68" s="104">
        <v>17.4</v>
      </c>
      <c r="G68" s="132" t="s">
        <v>442</v>
      </c>
      <c r="H68" s="106">
        <v>392.6959049999999</v>
      </c>
      <c r="I68" s="107">
        <v>1020.9001949999998</v>
      </c>
      <c r="J68" s="103" t="s">
        <v>35</v>
      </c>
      <c r="K68" s="109">
        <v>2900.0</v>
      </c>
      <c r="L68" s="109">
        <v>46.0</v>
      </c>
      <c r="M68" s="110">
        <f t="shared" si="19"/>
        <v>0.06048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ht="18.0" customHeight="1">
      <c r="A69" s="77"/>
      <c r="B69" s="112" t="s">
        <v>444</v>
      </c>
      <c r="C69" s="103">
        <v>7.5</v>
      </c>
      <c r="D69" s="104">
        <f>C69/0.75</f>
        <v>10</v>
      </c>
      <c r="E69" s="103">
        <v>90.0</v>
      </c>
      <c r="F69" s="104">
        <v>23.0</v>
      </c>
      <c r="G69" s="132" t="s">
        <v>442</v>
      </c>
      <c r="H69" s="106">
        <v>394.60616999999996</v>
      </c>
      <c r="I69" s="107">
        <v>1052.0881949999998</v>
      </c>
      <c r="J69" s="103" t="s">
        <v>35</v>
      </c>
      <c r="K69" s="109">
        <v>2900.0</v>
      </c>
      <c r="L69" s="109">
        <v>46.0</v>
      </c>
      <c r="M69" s="110">
        <f t="shared" si="19"/>
        <v>0.06048</v>
      </c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ht="18.0" customHeight="1">
      <c r="A70" s="77"/>
      <c r="B70" s="112" t="s">
        <v>445</v>
      </c>
      <c r="C70" s="103">
        <v>11.0</v>
      </c>
      <c r="D70" s="104">
        <v>15.0</v>
      </c>
      <c r="E70" s="103">
        <v>90.0</v>
      </c>
      <c r="F70" s="104">
        <v>27.3</v>
      </c>
      <c r="G70" s="132" t="s">
        <v>442</v>
      </c>
      <c r="H70" s="106">
        <v>482.20546499999995</v>
      </c>
      <c r="I70" s="107">
        <v>1612.5755399999996</v>
      </c>
      <c r="J70" s="103" t="s">
        <v>35</v>
      </c>
      <c r="K70" s="109">
        <v>2900.0</v>
      </c>
      <c r="L70" s="109">
        <v>48.0</v>
      </c>
      <c r="M70" s="110">
        <f t="shared" ref="M70:M73" si="20">0.5*0.37*0.48</f>
        <v>0.0888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ht="18.0" customHeight="1">
      <c r="A71" s="77"/>
      <c r="B71" s="112" t="s">
        <v>446</v>
      </c>
      <c r="C71" s="103">
        <v>15.0</v>
      </c>
      <c r="D71" s="104">
        <f>C71/0.75</f>
        <v>20</v>
      </c>
      <c r="E71" s="103">
        <v>144.0</v>
      </c>
      <c r="F71" s="104">
        <v>27.0</v>
      </c>
      <c r="G71" s="132" t="s">
        <v>442</v>
      </c>
      <c r="H71" s="106">
        <v>484.93441499999994</v>
      </c>
      <c r="I71" s="107">
        <v>1688.1674549999996</v>
      </c>
      <c r="J71" s="103" t="s">
        <v>35</v>
      </c>
      <c r="K71" s="109">
        <v>2900.0</v>
      </c>
      <c r="L71" s="109">
        <v>48.0</v>
      </c>
      <c r="M71" s="110">
        <f t="shared" si="20"/>
        <v>0.0888</v>
      </c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ht="18.0" customHeight="1">
      <c r="A72" s="77"/>
      <c r="B72" s="112" t="s">
        <v>447</v>
      </c>
      <c r="C72" s="103">
        <v>18.5</v>
      </c>
      <c r="D72" s="104">
        <v>25.0</v>
      </c>
      <c r="E72" s="103">
        <v>144.0</v>
      </c>
      <c r="F72" s="104">
        <v>33.6</v>
      </c>
      <c r="G72" s="132" t="s">
        <v>442</v>
      </c>
      <c r="H72" s="106">
        <v>487.39046999999994</v>
      </c>
      <c r="I72" s="107">
        <v>1823.6403299999997</v>
      </c>
      <c r="J72" s="103" t="s">
        <v>35</v>
      </c>
      <c r="K72" s="109">
        <v>2900.0</v>
      </c>
      <c r="L72" s="109">
        <v>48.0</v>
      </c>
      <c r="M72" s="110">
        <f t="shared" si="20"/>
        <v>0.0888</v>
      </c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ht="18.0" customHeight="1">
      <c r="A73" s="77"/>
      <c r="B73" s="112" t="s">
        <v>448</v>
      </c>
      <c r="C73" s="103">
        <v>22.0</v>
      </c>
      <c r="D73" s="104">
        <v>30.0</v>
      </c>
      <c r="E73" s="103">
        <v>144.0</v>
      </c>
      <c r="F73" s="104">
        <v>38.6</v>
      </c>
      <c r="G73" s="132" t="s">
        <v>442</v>
      </c>
      <c r="H73" s="106">
        <v>491.75678999999997</v>
      </c>
      <c r="I73" s="107">
        <v>2124.9943799999996</v>
      </c>
      <c r="J73" s="103" t="s">
        <v>35</v>
      </c>
      <c r="K73" s="109">
        <v>2900.0</v>
      </c>
      <c r="L73" s="109">
        <v>49.0</v>
      </c>
      <c r="M73" s="110">
        <f t="shared" si="20"/>
        <v>0.0888</v>
      </c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8.0" customHeight="1">
      <c r="A74" s="77"/>
      <c r="B74" s="112" t="s">
        <v>449</v>
      </c>
      <c r="C74" s="103">
        <v>22.0</v>
      </c>
      <c r="D74" s="104">
        <v>30.0</v>
      </c>
      <c r="E74" s="103">
        <v>144.0</v>
      </c>
      <c r="F74" s="104">
        <v>39.2</v>
      </c>
      <c r="G74" s="132" t="s">
        <v>442</v>
      </c>
      <c r="H74" s="106">
        <v>579.3560849999999</v>
      </c>
      <c r="I74" s="107">
        <v>2213.5293149999993</v>
      </c>
      <c r="J74" s="103" t="s">
        <v>35</v>
      </c>
      <c r="K74" s="109">
        <v>2900.0</v>
      </c>
      <c r="L74" s="109">
        <v>65.0</v>
      </c>
      <c r="M74" s="110">
        <f t="shared" ref="M74:M75" si="21">66*35*46/1000000</f>
        <v>0.10626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8.0" customHeight="1">
      <c r="A75" s="77"/>
      <c r="B75" s="112" t="s">
        <v>450</v>
      </c>
      <c r="C75" s="103">
        <v>30.0</v>
      </c>
      <c r="D75" s="104">
        <f>C75/0.75</f>
        <v>40</v>
      </c>
      <c r="E75" s="103">
        <v>144.0</v>
      </c>
      <c r="F75" s="104">
        <v>53.1</v>
      </c>
      <c r="G75" s="132" t="s">
        <v>442</v>
      </c>
      <c r="H75" s="106">
        <v>582.3579299999999</v>
      </c>
      <c r="I75" s="107">
        <v>2716.6697249999993</v>
      </c>
      <c r="J75" s="103" t="s">
        <v>35</v>
      </c>
      <c r="K75" s="109">
        <v>2900.0</v>
      </c>
      <c r="L75" s="109">
        <v>65.0</v>
      </c>
      <c r="M75" s="110">
        <f t="shared" si="21"/>
        <v>0.10626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8.0" customHeight="1">
      <c r="A76" s="77"/>
      <c r="B76" s="112" t="s">
        <v>451</v>
      </c>
      <c r="C76" s="103">
        <v>37.0</v>
      </c>
      <c r="D76" s="104">
        <v>50.0</v>
      </c>
      <c r="E76" s="103">
        <v>144.0</v>
      </c>
      <c r="F76" s="104">
        <v>59.3</v>
      </c>
      <c r="G76" s="132" t="s">
        <v>442</v>
      </c>
      <c r="H76" s="106">
        <v>656.8582649999998</v>
      </c>
      <c r="I76" s="107">
        <v>2935.609485</v>
      </c>
      <c r="J76" s="103" t="s">
        <v>35</v>
      </c>
      <c r="K76" s="109">
        <v>2900.0</v>
      </c>
      <c r="L76" s="109">
        <v>79.0</v>
      </c>
      <c r="M76" s="110">
        <f t="shared" ref="M76:M79" si="22">66*40*54/1000000</f>
        <v>0.14256</v>
      </c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8.0" customHeight="1">
      <c r="A77" s="77"/>
      <c r="B77" s="112" t="s">
        <v>452</v>
      </c>
      <c r="C77" s="103">
        <v>45.0</v>
      </c>
      <c r="D77" s="104">
        <f>C77/0.75</f>
        <v>60</v>
      </c>
      <c r="E77" s="103">
        <v>144.0</v>
      </c>
      <c r="F77" s="104">
        <v>78.5</v>
      </c>
      <c r="G77" s="132" t="s">
        <v>442</v>
      </c>
      <c r="H77" s="156" t="s">
        <v>80</v>
      </c>
      <c r="I77" s="157" t="s">
        <v>80</v>
      </c>
      <c r="J77" s="103" t="s">
        <v>35</v>
      </c>
      <c r="K77" s="109">
        <v>2900.0</v>
      </c>
      <c r="L77" s="109">
        <v>79.0</v>
      </c>
      <c r="M77" s="110">
        <f t="shared" si="22"/>
        <v>0.14256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8.0" customHeight="1">
      <c r="A78" s="77"/>
      <c r="B78" s="112" t="s">
        <v>453</v>
      </c>
      <c r="C78" s="103">
        <v>55.0</v>
      </c>
      <c r="D78" s="104">
        <v>75.0</v>
      </c>
      <c r="E78" s="103">
        <v>144.0</v>
      </c>
      <c r="F78" s="104">
        <v>87.0</v>
      </c>
      <c r="G78" s="132" t="s">
        <v>442</v>
      </c>
      <c r="H78" s="156" t="s">
        <v>80</v>
      </c>
      <c r="I78" s="157" t="s">
        <v>80</v>
      </c>
      <c r="J78" s="103" t="s">
        <v>35</v>
      </c>
      <c r="K78" s="109">
        <v>2900.0</v>
      </c>
      <c r="L78" s="109">
        <v>79.0</v>
      </c>
      <c r="M78" s="110">
        <f t="shared" si="22"/>
        <v>0.14256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8.0" customHeight="1">
      <c r="A79" s="77"/>
      <c r="B79" s="112" t="s">
        <v>454</v>
      </c>
      <c r="C79" s="103">
        <v>75.0</v>
      </c>
      <c r="D79" s="104">
        <v>100.0</v>
      </c>
      <c r="E79" s="103">
        <v>144.0</v>
      </c>
      <c r="F79" s="104">
        <v>101.0</v>
      </c>
      <c r="G79" s="132" t="s">
        <v>442</v>
      </c>
      <c r="H79" s="156" t="s">
        <v>80</v>
      </c>
      <c r="I79" s="157" t="s">
        <v>80</v>
      </c>
      <c r="J79" s="103" t="s">
        <v>35</v>
      </c>
      <c r="K79" s="109">
        <v>2900.0</v>
      </c>
      <c r="L79" s="109">
        <v>79.0</v>
      </c>
      <c r="M79" s="110">
        <f t="shared" si="22"/>
        <v>0.14256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8.0" customHeight="1">
      <c r="A80" s="77"/>
      <c r="B80" s="112" t="s">
        <v>455</v>
      </c>
      <c r="C80" s="103">
        <v>45.0</v>
      </c>
      <c r="D80" s="104">
        <f>C80/0.75</f>
        <v>60</v>
      </c>
      <c r="E80" s="103">
        <v>144.0</v>
      </c>
      <c r="F80" s="104">
        <v>78.0</v>
      </c>
      <c r="G80" s="132" t="s">
        <v>442</v>
      </c>
      <c r="H80" s="156" t="s">
        <v>80</v>
      </c>
      <c r="I80" s="157" t="s">
        <v>80</v>
      </c>
      <c r="J80" s="103" t="s">
        <v>35</v>
      </c>
      <c r="K80" s="109">
        <v>2900.0</v>
      </c>
      <c r="L80" s="109">
        <v>127.0</v>
      </c>
      <c r="M80" s="110">
        <v>0.217</v>
      </c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18.0" customHeight="1">
      <c r="A81" s="77"/>
      <c r="B81" s="112" t="s">
        <v>456</v>
      </c>
      <c r="C81" s="103">
        <v>55.0</v>
      </c>
      <c r="D81" s="104">
        <v>75.0</v>
      </c>
      <c r="E81" s="103">
        <v>144.0</v>
      </c>
      <c r="F81" s="104">
        <v>91.0</v>
      </c>
      <c r="G81" s="132" t="s">
        <v>442</v>
      </c>
      <c r="H81" s="156" t="s">
        <v>80</v>
      </c>
      <c r="I81" s="157" t="s">
        <v>80</v>
      </c>
      <c r="J81" s="103" t="s">
        <v>35</v>
      </c>
      <c r="K81" s="109">
        <v>2900.0</v>
      </c>
      <c r="L81" s="109">
        <v>128.0</v>
      </c>
      <c r="M81" s="110">
        <v>0.217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8.0" customHeight="1">
      <c r="A82" s="77"/>
      <c r="B82" s="112" t="s">
        <v>457</v>
      </c>
      <c r="C82" s="103">
        <v>75.0</v>
      </c>
      <c r="D82" s="104">
        <v>100.0</v>
      </c>
      <c r="E82" s="103">
        <v>180.0</v>
      </c>
      <c r="F82" s="104">
        <v>107.3</v>
      </c>
      <c r="G82" s="132" t="s">
        <v>442</v>
      </c>
      <c r="H82" s="156" t="s">
        <v>80</v>
      </c>
      <c r="I82" s="157" t="s">
        <v>80</v>
      </c>
      <c r="J82" s="103" t="s">
        <v>35</v>
      </c>
      <c r="K82" s="109">
        <v>2900.0</v>
      </c>
      <c r="L82" s="109">
        <v>129.0</v>
      </c>
      <c r="M82" s="110">
        <v>0.217</v>
      </c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8.0" customHeight="1">
      <c r="A83" s="77"/>
      <c r="B83" s="112" t="s">
        <v>458</v>
      </c>
      <c r="C83" s="103">
        <v>90.0</v>
      </c>
      <c r="D83" s="104">
        <v>125.0</v>
      </c>
      <c r="E83" s="103">
        <v>180.0</v>
      </c>
      <c r="F83" s="104">
        <v>127.3</v>
      </c>
      <c r="G83" s="132" t="s">
        <v>442</v>
      </c>
      <c r="H83" s="156" t="s">
        <v>80</v>
      </c>
      <c r="I83" s="157" t="s">
        <v>80</v>
      </c>
      <c r="J83" s="103" t="s">
        <v>35</v>
      </c>
      <c r="K83" s="109">
        <v>2900.0</v>
      </c>
      <c r="L83" s="109">
        <v>130.0</v>
      </c>
      <c r="M83" s="110">
        <v>0.217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8.0" customHeight="1">
      <c r="A84" s="77"/>
      <c r="B84" s="112" t="s">
        <v>459</v>
      </c>
      <c r="C84" s="103">
        <v>110.0</v>
      </c>
      <c r="D84" s="104">
        <v>150.0</v>
      </c>
      <c r="E84" s="103">
        <v>180.0</v>
      </c>
      <c r="F84" s="104">
        <v>136.3</v>
      </c>
      <c r="G84" s="132" t="s">
        <v>442</v>
      </c>
      <c r="H84" s="156" t="s">
        <v>80</v>
      </c>
      <c r="I84" s="157" t="s">
        <v>80</v>
      </c>
      <c r="J84" s="103" t="s">
        <v>35</v>
      </c>
      <c r="K84" s="109">
        <v>2900.0</v>
      </c>
      <c r="L84" s="109">
        <v>130.0</v>
      </c>
      <c r="M84" s="110">
        <v>0.217</v>
      </c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8.0" customHeight="1">
      <c r="A85" s="77"/>
      <c r="B85" s="112" t="s">
        <v>460</v>
      </c>
      <c r="C85" s="103">
        <v>15.0</v>
      </c>
      <c r="D85" s="104">
        <v>20.0</v>
      </c>
      <c r="E85" s="103">
        <v>180.0</v>
      </c>
      <c r="F85" s="104">
        <v>24.5</v>
      </c>
      <c r="G85" s="132" t="s">
        <v>461</v>
      </c>
      <c r="H85" s="106">
        <v>490.39231499999994</v>
      </c>
      <c r="I85" s="107">
        <v>1693.7812949999998</v>
      </c>
      <c r="J85" s="103" t="s">
        <v>35</v>
      </c>
      <c r="K85" s="109">
        <v>2900.0</v>
      </c>
      <c r="L85" s="109">
        <v>60.0</v>
      </c>
      <c r="M85" s="110">
        <f t="shared" ref="M85:M87" si="23">0.5*0.38*0.58</f>
        <v>0.1102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t="18.0" customHeight="1">
      <c r="A86" s="77"/>
      <c r="B86" s="112" t="s">
        <v>462</v>
      </c>
      <c r="C86" s="103">
        <v>18.5</v>
      </c>
      <c r="D86" s="104">
        <v>25.0</v>
      </c>
      <c r="E86" s="103">
        <v>180.0</v>
      </c>
      <c r="F86" s="104">
        <v>29.0</v>
      </c>
      <c r="G86" s="132" t="s">
        <v>461</v>
      </c>
      <c r="H86" s="106">
        <v>493.66705499999995</v>
      </c>
      <c r="I86" s="107">
        <v>1859.6234849999998</v>
      </c>
      <c r="J86" s="103" t="s">
        <v>35</v>
      </c>
      <c r="K86" s="109">
        <v>2900.0</v>
      </c>
      <c r="L86" s="109">
        <v>60.0</v>
      </c>
      <c r="M86" s="110">
        <f t="shared" si="23"/>
        <v>0.1102</v>
      </c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t="18.0" customHeight="1">
      <c r="A87" s="77"/>
      <c r="B87" s="112" t="s">
        <v>463</v>
      </c>
      <c r="C87" s="103">
        <v>22.0</v>
      </c>
      <c r="D87" s="104">
        <v>30.0</v>
      </c>
      <c r="E87" s="103">
        <v>180.0</v>
      </c>
      <c r="F87" s="104">
        <v>31.5</v>
      </c>
      <c r="G87" s="132" t="s">
        <v>461</v>
      </c>
      <c r="H87" s="106">
        <v>498.0333749999999</v>
      </c>
      <c r="I87" s="107">
        <v>2175.5579249999996</v>
      </c>
      <c r="J87" s="103" t="s">
        <v>35</v>
      </c>
      <c r="K87" s="109">
        <v>2900.0</v>
      </c>
      <c r="L87" s="109">
        <v>60.0</v>
      </c>
      <c r="M87" s="110">
        <f t="shared" si="23"/>
        <v>0.1102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t="18.0" customHeight="1">
      <c r="A88" s="77"/>
      <c r="B88" s="112" t="s">
        <v>464</v>
      </c>
      <c r="C88" s="103">
        <v>22.0</v>
      </c>
      <c r="D88" s="104">
        <v>30.0</v>
      </c>
      <c r="E88" s="103">
        <v>200.0</v>
      </c>
      <c r="F88" s="104">
        <v>26.8</v>
      </c>
      <c r="G88" s="132" t="s">
        <v>461</v>
      </c>
      <c r="H88" s="106">
        <v>702.9775199999998</v>
      </c>
      <c r="I88" s="107">
        <v>2348.4563999999996</v>
      </c>
      <c r="J88" s="103" t="s">
        <v>35</v>
      </c>
      <c r="K88" s="109">
        <v>2900.0</v>
      </c>
      <c r="L88" s="109">
        <v>75.0</v>
      </c>
      <c r="M88" s="110">
        <f t="shared" ref="M88:M91" si="24">66*38*54/1000000</f>
        <v>0.135432</v>
      </c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t="18.0" customHeight="1">
      <c r="A89" s="77"/>
      <c r="B89" s="112" t="s">
        <v>465</v>
      </c>
      <c r="C89" s="103">
        <v>30.0</v>
      </c>
      <c r="D89" s="104">
        <v>40.0</v>
      </c>
      <c r="E89" s="103">
        <v>200.0</v>
      </c>
      <c r="F89" s="104">
        <v>34.2</v>
      </c>
      <c r="G89" s="132" t="s">
        <v>461</v>
      </c>
      <c r="H89" s="106">
        <v>707.8896299999998</v>
      </c>
      <c r="I89" s="107">
        <v>2816.4323399999994</v>
      </c>
      <c r="J89" s="103" t="s">
        <v>35</v>
      </c>
      <c r="K89" s="109">
        <v>2900.0</v>
      </c>
      <c r="L89" s="109">
        <v>75.0</v>
      </c>
      <c r="M89" s="110">
        <f t="shared" si="24"/>
        <v>0.135432</v>
      </c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t="18.0" customHeight="1">
      <c r="A90" s="77"/>
      <c r="B90" s="112" t="s">
        <v>466</v>
      </c>
      <c r="C90" s="103">
        <v>37.0</v>
      </c>
      <c r="D90" s="104">
        <v>50.0</v>
      </c>
      <c r="E90" s="103">
        <v>200.0</v>
      </c>
      <c r="F90" s="104">
        <v>45.0</v>
      </c>
      <c r="G90" s="132" t="s">
        <v>461</v>
      </c>
      <c r="H90" s="106">
        <v>711.7101599999997</v>
      </c>
      <c r="I90" s="107">
        <v>3091.627455</v>
      </c>
      <c r="J90" s="103" t="s">
        <v>35</v>
      </c>
      <c r="K90" s="109">
        <v>2900.0</v>
      </c>
      <c r="L90" s="109">
        <v>75.0</v>
      </c>
      <c r="M90" s="110">
        <f t="shared" si="24"/>
        <v>0.135432</v>
      </c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t="18.0" customHeight="1">
      <c r="A91" s="77"/>
      <c r="B91" s="112" t="s">
        <v>467</v>
      </c>
      <c r="C91" s="103">
        <v>45.0</v>
      </c>
      <c r="D91" s="104">
        <v>60.0</v>
      </c>
      <c r="E91" s="103">
        <v>200.0</v>
      </c>
      <c r="F91" s="104">
        <v>51.0</v>
      </c>
      <c r="G91" s="132" t="s">
        <v>461</v>
      </c>
      <c r="H91" s="156" t="s">
        <v>80</v>
      </c>
      <c r="I91" s="157" t="s">
        <v>80</v>
      </c>
      <c r="J91" s="103" t="s">
        <v>35</v>
      </c>
      <c r="K91" s="109">
        <v>2900.0</v>
      </c>
      <c r="L91" s="109">
        <v>75.0</v>
      </c>
      <c r="M91" s="110">
        <f t="shared" si="24"/>
        <v>0.135432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t="18.0" customHeight="1">
      <c r="A92" s="77"/>
      <c r="B92" s="112" t="s">
        <v>468</v>
      </c>
      <c r="C92" s="103">
        <v>45.0</v>
      </c>
      <c r="D92" s="104">
        <v>60.0</v>
      </c>
      <c r="E92" s="103">
        <v>200.0</v>
      </c>
      <c r="F92" s="104">
        <v>56.0</v>
      </c>
      <c r="G92" s="132" t="s">
        <v>461</v>
      </c>
      <c r="H92" s="156" t="s">
        <v>80</v>
      </c>
      <c r="I92" s="157" t="s">
        <v>80</v>
      </c>
      <c r="J92" s="103" t="s">
        <v>35</v>
      </c>
      <c r="K92" s="109">
        <v>2900.0</v>
      </c>
      <c r="L92" s="109">
        <v>88.0</v>
      </c>
      <c r="M92" s="110">
        <f t="shared" ref="M92:M95" si="25">68*42*56/1000000</f>
        <v>0.159936</v>
      </c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t="18.0" customHeight="1">
      <c r="A93" s="77"/>
      <c r="B93" s="112" t="s">
        <v>469</v>
      </c>
      <c r="C93" s="103">
        <v>55.0</v>
      </c>
      <c r="D93" s="104">
        <v>75.0</v>
      </c>
      <c r="E93" s="103">
        <v>200.0</v>
      </c>
      <c r="F93" s="104">
        <v>71.7</v>
      </c>
      <c r="G93" s="132" t="s">
        <v>461</v>
      </c>
      <c r="H93" s="156" t="s">
        <v>80</v>
      </c>
      <c r="I93" s="157" t="s">
        <v>80</v>
      </c>
      <c r="J93" s="103" t="s">
        <v>35</v>
      </c>
      <c r="K93" s="109">
        <v>2900.0</v>
      </c>
      <c r="L93" s="109">
        <v>88.0</v>
      </c>
      <c r="M93" s="110">
        <f t="shared" si="25"/>
        <v>0.159936</v>
      </c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t="18.0" customHeight="1">
      <c r="A94" s="77"/>
      <c r="B94" s="112" t="s">
        <v>470</v>
      </c>
      <c r="C94" s="103">
        <v>75.0</v>
      </c>
      <c r="D94" s="104">
        <v>100.0</v>
      </c>
      <c r="E94" s="103">
        <v>240.0</v>
      </c>
      <c r="F94" s="104">
        <v>78.0</v>
      </c>
      <c r="G94" s="132" t="s">
        <v>461</v>
      </c>
      <c r="H94" s="156" t="s">
        <v>80</v>
      </c>
      <c r="I94" s="157" t="s">
        <v>80</v>
      </c>
      <c r="J94" s="103" t="s">
        <v>35</v>
      </c>
      <c r="K94" s="109">
        <v>2900.0</v>
      </c>
      <c r="L94" s="109">
        <v>88.0</v>
      </c>
      <c r="M94" s="110">
        <f t="shared" si="25"/>
        <v>0.159936</v>
      </c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t="18.0" customHeight="1">
      <c r="A95" s="77"/>
      <c r="B95" s="112" t="s">
        <v>471</v>
      </c>
      <c r="C95" s="103">
        <v>90.0</v>
      </c>
      <c r="D95" s="104">
        <v>125.0</v>
      </c>
      <c r="E95" s="103">
        <v>240.0</v>
      </c>
      <c r="F95" s="104">
        <v>87.0</v>
      </c>
      <c r="G95" s="132" t="s">
        <v>461</v>
      </c>
      <c r="H95" s="156" t="s">
        <v>80</v>
      </c>
      <c r="I95" s="157" t="s">
        <v>80</v>
      </c>
      <c r="J95" s="103" t="s">
        <v>35</v>
      </c>
      <c r="K95" s="109">
        <v>2900.0</v>
      </c>
      <c r="L95" s="109">
        <v>88.0</v>
      </c>
      <c r="M95" s="110">
        <f t="shared" si="25"/>
        <v>0.159936</v>
      </c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t="18.0" customHeight="1">
      <c r="A96" s="77"/>
      <c r="B96" s="112" t="s">
        <v>472</v>
      </c>
      <c r="C96" s="103">
        <v>75.0</v>
      </c>
      <c r="D96" s="104">
        <v>100.0</v>
      </c>
      <c r="E96" s="103">
        <v>240.0</v>
      </c>
      <c r="F96" s="104">
        <v>70.7</v>
      </c>
      <c r="G96" s="132" t="s">
        <v>461</v>
      </c>
      <c r="H96" s="156" t="s">
        <v>80</v>
      </c>
      <c r="I96" s="157" t="s">
        <v>80</v>
      </c>
      <c r="J96" s="103" t="s">
        <v>35</v>
      </c>
      <c r="K96" s="109">
        <v>2900.0</v>
      </c>
      <c r="L96" s="109">
        <v>158.0</v>
      </c>
      <c r="M96" s="110">
        <v>0.261</v>
      </c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t="18.0" customHeight="1">
      <c r="A97" s="77"/>
      <c r="B97" s="112" t="s">
        <v>473</v>
      </c>
      <c r="C97" s="103">
        <v>90.0</v>
      </c>
      <c r="D97" s="104">
        <v>125.0</v>
      </c>
      <c r="E97" s="103">
        <v>240.0</v>
      </c>
      <c r="F97" s="104">
        <v>90.7</v>
      </c>
      <c r="G97" s="132" t="s">
        <v>461</v>
      </c>
      <c r="H97" s="156" t="s">
        <v>80</v>
      </c>
      <c r="I97" s="157" t="s">
        <v>80</v>
      </c>
      <c r="J97" s="103" t="s">
        <v>35</v>
      </c>
      <c r="K97" s="109">
        <v>2900.0</v>
      </c>
      <c r="L97" s="109">
        <v>159.0</v>
      </c>
      <c r="M97" s="110">
        <v>0.261</v>
      </c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t="18.0" customHeight="1">
      <c r="A98" s="77"/>
      <c r="B98" s="112" t="s">
        <v>474</v>
      </c>
      <c r="C98" s="103">
        <v>110.0</v>
      </c>
      <c r="D98" s="104">
        <v>150.0</v>
      </c>
      <c r="E98" s="103">
        <v>240.0</v>
      </c>
      <c r="F98" s="104">
        <v>108.7</v>
      </c>
      <c r="G98" s="132" t="s">
        <v>461</v>
      </c>
      <c r="H98" s="156" t="s">
        <v>80</v>
      </c>
      <c r="I98" s="157" t="s">
        <v>80</v>
      </c>
      <c r="J98" s="103" t="s">
        <v>35</v>
      </c>
      <c r="K98" s="109">
        <v>2900.0</v>
      </c>
      <c r="L98" s="109">
        <v>160.0</v>
      </c>
      <c r="M98" s="110">
        <v>0.261</v>
      </c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t="18.0" customHeight="1">
      <c r="A99" s="77"/>
      <c r="B99" s="112" t="s">
        <v>475</v>
      </c>
      <c r="C99" s="103">
        <v>132.0</v>
      </c>
      <c r="D99" s="104">
        <v>180.0</v>
      </c>
      <c r="E99" s="103">
        <v>240.0</v>
      </c>
      <c r="F99" s="104">
        <v>119.7</v>
      </c>
      <c r="G99" s="132" t="s">
        <v>461</v>
      </c>
      <c r="H99" s="156" t="s">
        <v>80</v>
      </c>
      <c r="I99" s="157" t="s">
        <v>80</v>
      </c>
      <c r="J99" s="103" t="s">
        <v>35</v>
      </c>
      <c r="K99" s="109">
        <v>2900.0</v>
      </c>
      <c r="L99" s="109">
        <v>161.0</v>
      </c>
      <c r="M99" s="110">
        <v>0.261</v>
      </c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t="18.0" customHeight="1">
      <c r="A100" s="77"/>
      <c r="B100" s="112" t="s">
        <v>476</v>
      </c>
      <c r="C100" s="103">
        <v>160.0</v>
      </c>
      <c r="D100" s="104">
        <v>220.0</v>
      </c>
      <c r="E100" s="103">
        <v>240.0</v>
      </c>
      <c r="F100" s="104">
        <v>138.7</v>
      </c>
      <c r="G100" s="132" t="s">
        <v>461</v>
      </c>
      <c r="H100" s="156" t="s">
        <v>80</v>
      </c>
      <c r="I100" s="157" t="s">
        <v>80</v>
      </c>
      <c r="J100" s="103" t="s">
        <v>35</v>
      </c>
      <c r="K100" s="109">
        <v>2900.0</v>
      </c>
      <c r="L100" s="109">
        <v>161.0</v>
      </c>
      <c r="M100" s="110">
        <v>0.261</v>
      </c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t="18.0" customHeight="1">
      <c r="A101" s="77"/>
      <c r="B101" s="112" t="s">
        <v>477</v>
      </c>
      <c r="C101" s="103">
        <v>45.0</v>
      </c>
      <c r="D101" s="104">
        <v>60.0</v>
      </c>
      <c r="E101" s="103">
        <v>280.0</v>
      </c>
      <c r="F101" s="104">
        <v>35.0</v>
      </c>
      <c r="G101" s="132" t="s">
        <v>478</v>
      </c>
      <c r="H101" s="156" t="s">
        <v>80</v>
      </c>
      <c r="I101" s="157" t="s">
        <v>80</v>
      </c>
      <c r="J101" s="103" t="s">
        <v>35</v>
      </c>
      <c r="K101" s="109">
        <v>2900.0</v>
      </c>
      <c r="L101" s="109">
        <v>112.0</v>
      </c>
      <c r="M101" s="110">
        <f t="shared" ref="M101:M103" si="26">0.63*0.48*0.67</f>
        <v>0.202608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t="18.0" customHeight="1">
      <c r="A102" s="77"/>
      <c r="B102" s="112" t="s">
        <v>479</v>
      </c>
      <c r="C102" s="103">
        <v>55.0</v>
      </c>
      <c r="D102" s="104">
        <v>75.0</v>
      </c>
      <c r="E102" s="103">
        <v>280.0</v>
      </c>
      <c r="F102" s="104">
        <v>45.0</v>
      </c>
      <c r="G102" s="132" t="s">
        <v>478</v>
      </c>
      <c r="H102" s="156" t="s">
        <v>80</v>
      </c>
      <c r="I102" s="157" t="s">
        <v>80</v>
      </c>
      <c r="J102" s="103" t="s">
        <v>35</v>
      </c>
      <c r="K102" s="109">
        <v>2900.0</v>
      </c>
      <c r="L102" s="109">
        <v>113.0</v>
      </c>
      <c r="M102" s="110">
        <f t="shared" si="26"/>
        <v>0.202608</v>
      </c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ht="18.0" customHeight="1">
      <c r="A103" s="77"/>
      <c r="B103" s="112" t="s">
        <v>480</v>
      </c>
      <c r="C103" s="103">
        <v>75.0</v>
      </c>
      <c r="D103" s="104">
        <v>100.0</v>
      </c>
      <c r="E103" s="103">
        <v>280.0</v>
      </c>
      <c r="F103" s="104">
        <v>56.0</v>
      </c>
      <c r="G103" s="132" t="s">
        <v>478</v>
      </c>
      <c r="H103" s="156" t="s">
        <v>80</v>
      </c>
      <c r="I103" s="157" t="s">
        <v>80</v>
      </c>
      <c r="J103" s="103" t="s">
        <v>35</v>
      </c>
      <c r="K103" s="109">
        <v>2900.0</v>
      </c>
      <c r="L103" s="109">
        <v>114.0</v>
      </c>
      <c r="M103" s="110">
        <f t="shared" si="26"/>
        <v>0.202608</v>
      </c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ht="18.0" customHeight="1">
      <c r="A104" s="77"/>
      <c r="B104" s="112" t="s">
        <v>481</v>
      </c>
      <c r="C104" s="103">
        <v>55.0</v>
      </c>
      <c r="D104" s="104">
        <v>75.0</v>
      </c>
      <c r="E104" s="103">
        <v>200.0</v>
      </c>
      <c r="F104" s="104">
        <v>63.0</v>
      </c>
      <c r="G104" s="132" t="s">
        <v>478</v>
      </c>
      <c r="H104" s="156" t="s">
        <v>80</v>
      </c>
      <c r="I104" s="157" t="s">
        <v>80</v>
      </c>
      <c r="J104" s="103" t="s">
        <v>35</v>
      </c>
      <c r="K104" s="109">
        <v>2900.0</v>
      </c>
      <c r="L104" s="109">
        <v>142.0</v>
      </c>
      <c r="M104" s="110">
        <f t="shared" ref="M104:M107" si="27">0.65*0.49*0.71</f>
        <v>0.226135</v>
      </c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ht="18.0" customHeight="1">
      <c r="A105" s="77"/>
      <c r="B105" s="112" t="s">
        <v>482</v>
      </c>
      <c r="C105" s="103">
        <v>75.0</v>
      </c>
      <c r="D105" s="104">
        <v>100.0</v>
      </c>
      <c r="E105" s="103">
        <v>240.0</v>
      </c>
      <c r="F105" s="104">
        <v>70.0</v>
      </c>
      <c r="G105" s="132" t="s">
        <v>478</v>
      </c>
      <c r="H105" s="156" t="s">
        <v>80</v>
      </c>
      <c r="I105" s="157" t="s">
        <v>80</v>
      </c>
      <c r="J105" s="103" t="s">
        <v>35</v>
      </c>
      <c r="K105" s="109">
        <v>2900.0</v>
      </c>
      <c r="L105" s="109">
        <v>143.0</v>
      </c>
      <c r="M105" s="110">
        <f t="shared" si="27"/>
        <v>0.226135</v>
      </c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ht="18.0" customHeight="1">
      <c r="A106" s="77"/>
      <c r="B106" s="112" t="s">
        <v>483</v>
      </c>
      <c r="C106" s="103">
        <v>90.0</v>
      </c>
      <c r="D106" s="104">
        <v>125.0</v>
      </c>
      <c r="E106" s="103">
        <v>280.0</v>
      </c>
      <c r="F106" s="104">
        <v>73.5</v>
      </c>
      <c r="G106" s="132" t="s">
        <v>478</v>
      </c>
      <c r="H106" s="156" t="s">
        <v>80</v>
      </c>
      <c r="I106" s="157" t="s">
        <v>80</v>
      </c>
      <c r="J106" s="103" t="s">
        <v>35</v>
      </c>
      <c r="K106" s="109">
        <v>2900.0</v>
      </c>
      <c r="L106" s="109">
        <v>144.0</v>
      </c>
      <c r="M106" s="110">
        <f t="shared" si="27"/>
        <v>0.226135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ht="18.0" customHeight="1">
      <c r="A107" s="77"/>
      <c r="B107" s="112" t="s">
        <v>484</v>
      </c>
      <c r="C107" s="103">
        <v>110.0</v>
      </c>
      <c r="D107" s="104">
        <v>150.0</v>
      </c>
      <c r="E107" s="103">
        <v>280.0</v>
      </c>
      <c r="F107" s="104">
        <v>84.0</v>
      </c>
      <c r="G107" s="132" t="s">
        <v>478</v>
      </c>
      <c r="H107" s="156" t="s">
        <v>80</v>
      </c>
      <c r="I107" s="157" t="s">
        <v>80</v>
      </c>
      <c r="J107" s="103" t="s">
        <v>35</v>
      </c>
      <c r="K107" s="109">
        <v>2900.0</v>
      </c>
      <c r="L107" s="109">
        <v>145.0</v>
      </c>
      <c r="M107" s="110">
        <f t="shared" si="27"/>
        <v>0.226135</v>
      </c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ht="18.0" customHeight="1">
      <c r="A108" s="77"/>
      <c r="B108" s="112" t="s">
        <v>485</v>
      </c>
      <c r="C108" s="103">
        <v>90.0</v>
      </c>
      <c r="D108" s="104">
        <v>125.0</v>
      </c>
      <c r="E108" s="103">
        <v>300.0</v>
      </c>
      <c r="F108" s="104">
        <v>59.60000000000001</v>
      </c>
      <c r="G108" s="132" t="s">
        <v>478</v>
      </c>
      <c r="H108" s="156" t="s">
        <v>80</v>
      </c>
      <c r="I108" s="157" t="s">
        <v>80</v>
      </c>
      <c r="J108" s="103" t="s">
        <v>35</v>
      </c>
      <c r="K108" s="109">
        <v>2900.0</v>
      </c>
      <c r="L108" s="109">
        <v>155.0</v>
      </c>
      <c r="M108" s="110">
        <v>0.25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ht="18.0" customHeight="1">
      <c r="A109" s="77"/>
      <c r="B109" s="112" t="s">
        <v>486</v>
      </c>
      <c r="C109" s="103">
        <v>110.0</v>
      </c>
      <c r="D109" s="104">
        <v>150.0</v>
      </c>
      <c r="E109" s="103">
        <v>360.0</v>
      </c>
      <c r="F109" s="104">
        <v>68.0</v>
      </c>
      <c r="G109" s="132" t="s">
        <v>478</v>
      </c>
      <c r="H109" s="156" t="s">
        <v>80</v>
      </c>
      <c r="I109" s="157" t="s">
        <v>80</v>
      </c>
      <c r="J109" s="103" t="s">
        <v>35</v>
      </c>
      <c r="K109" s="109">
        <v>2900.0</v>
      </c>
      <c r="L109" s="109">
        <v>155.0</v>
      </c>
      <c r="M109" s="110">
        <v>0.25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ht="18.0" customHeight="1">
      <c r="A110" s="77"/>
      <c r="B110" s="112" t="s">
        <v>487</v>
      </c>
      <c r="C110" s="103">
        <v>132.0</v>
      </c>
      <c r="D110" s="104">
        <v>180.0</v>
      </c>
      <c r="E110" s="103">
        <v>360.0</v>
      </c>
      <c r="F110" s="104">
        <v>78.0</v>
      </c>
      <c r="G110" s="132" t="s">
        <v>478</v>
      </c>
      <c r="H110" s="156" t="s">
        <v>80</v>
      </c>
      <c r="I110" s="157" t="s">
        <v>80</v>
      </c>
      <c r="J110" s="103" t="s">
        <v>35</v>
      </c>
      <c r="K110" s="109">
        <v>2900.0</v>
      </c>
      <c r="L110" s="109">
        <v>155.0</v>
      </c>
      <c r="M110" s="110">
        <v>0.25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ht="18.0" customHeight="1">
      <c r="A111" s="77"/>
      <c r="B111" s="112" t="s">
        <v>488</v>
      </c>
      <c r="C111" s="103">
        <v>160.0</v>
      </c>
      <c r="D111" s="104">
        <v>220.0</v>
      </c>
      <c r="E111" s="103">
        <v>400.0</v>
      </c>
      <c r="F111" s="104">
        <v>90.0</v>
      </c>
      <c r="G111" s="132" t="s">
        <v>478</v>
      </c>
      <c r="H111" s="156" t="s">
        <v>80</v>
      </c>
      <c r="I111" s="157" t="s">
        <v>80</v>
      </c>
      <c r="J111" s="103" t="s">
        <v>35</v>
      </c>
      <c r="K111" s="109">
        <v>2900.0</v>
      </c>
      <c r="L111" s="109">
        <v>155.0</v>
      </c>
      <c r="M111" s="110">
        <v>0.25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ht="18.0" customHeight="1">
      <c r="A112" s="77"/>
      <c r="B112" s="112" t="s">
        <v>489</v>
      </c>
      <c r="C112" s="103">
        <v>132.0</v>
      </c>
      <c r="D112" s="104">
        <v>180.0</v>
      </c>
      <c r="E112" s="103">
        <v>300.0</v>
      </c>
      <c r="F112" s="104">
        <v>93.5</v>
      </c>
      <c r="G112" s="132" t="s">
        <v>478</v>
      </c>
      <c r="H112" s="156" t="s">
        <v>80</v>
      </c>
      <c r="I112" s="157" t="s">
        <v>80</v>
      </c>
      <c r="J112" s="103" t="s">
        <v>35</v>
      </c>
      <c r="K112" s="109">
        <v>2900.0</v>
      </c>
      <c r="L112" s="109">
        <v>190.0</v>
      </c>
      <c r="M112" s="110">
        <v>0.302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ht="18.0" customHeight="1">
      <c r="A113" s="77"/>
      <c r="B113" s="112" t="s">
        <v>490</v>
      </c>
      <c r="C113" s="103">
        <v>160.0</v>
      </c>
      <c r="D113" s="104">
        <v>220.0</v>
      </c>
      <c r="E113" s="103">
        <v>360.0</v>
      </c>
      <c r="F113" s="104">
        <v>107.8</v>
      </c>
      <c r="G113" s="132" t="s">
        <v>478</v>
      </c>
      <c r="H113" s="156" t="s">
        <v>80</v>
      </c>
      <c r="I113" s="157" t="s">
        <v>80</v>
      </c>
      <c r="J113" s="103" t="s">
        <v>35</v>
      </c>
      <c r="K113" s="109">
        <v>2900.0</v>
      </c>
      <c r="L113" s="109">
        <v>192.0</v>
      </c>
      <c r="M113" s="110">
        <v>0.302</v>
      </c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ht="18.0" customHeight="1">
      <c r="A114" s="77"/>
      <c r="B114" s="112" t="s">
        <v>491</v>
      </c>
      <c r="C114" s="103">
        <v>185.0</v>
      </c>
      <c r="D114" s="104">
        <v>250.0</v>
      </c>
      <c r="E114" s="103">
        <v>360.0</v>
      </c>
      <c r="F114" s="104">
        <v>120.8</v>
      </c>
      <c r="G114" s="132" t="s">
        <v>478</v>
      </c>
      <c r="H114" s="156" t="s">
        <v>80</v>
      </c>
      <c r="I114" s="157" t="s">
        <v>80</v>
      </c>
      <c r="J114" s="103" t="s">
        <v>35</v>
      </c>
      <c r="K114" s="109">
        <v>2900.0</v>
      </c>
      <c r="L114" s="109">
        <v>193.0</v>
      </c>
      <c r="M114" s="110">
        <v>0.302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ht="18.0" customHeight="1">
      <c r="A115" s="77"/>
      <c r="B115" s="112" t="s">
        <v>492</v>
      </c>
      <c r="C115" s="103">
        <v>200.0</v>
      </c>
      <c r="D115" s="104">
        <v>270.0</v>
      </c>
      <c r="E115" s="103">
        <v>360.0</v>
      </c>
      <c r="F115" s="104">
        <v>131.8</v>
      </c>
      <c r="G115" s="132" t="s">
        <v>478</v>
      </c>
      <c r="H115" s="156" t="s">
        <v>80</v>
      </c>
      <c r="I115" s="157" t="s">
        <v>80</v>
      </c>
      <c r="J115" s="103" t="s">
        <v>35</v>
      </c>
      <c r="K115" s="109">
        <v>2900.0</v>
      </c>
      <c r="L115" s="109">
        <v>194.0</v>
      </c>
      <c r="M115" s="110">
        <v>0.302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ht="18.0" customHeight="1">
      <c r="A116" s="77"/>
      <c r="B116" s="112" t="s">
        <v>493</v>
      </c>
      <c r="C116" s="103">
        <v>75.0</v>
      </c>
      <c r="D116" s="104">
        <v>100.0</v>
      </c>
      <c r="E116" s="103">
        <v>400.0</v>
      </c>
      <c r="F116" s="104">
        <v>44.6</v>
      </c>
      <c r="G116" s="132" t="s">
        <v>494</v>
      </c>
      <c r="H116" s="156" t="s">
        <v>80</v>
      </c>
      <c r="I116" s="157" t="s">
        <v>80</v>
      </c>
      <c r="J116" s="103" t="s">
        <v>35</v>
      </c>
      <c r="K116" s="109">
        <v>2900.0</v>
      </c>
      <c r="L116" s="109">
        <v>166.0</v>
      </c>
      <c r="M116" s="110">
        <f t="shared" ref="M116:M120" si="28">0.65*0.62*0.79</f>
        <v>0.31837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ht="18.0" customHeight="1">
      <c r="A117" s="77"/>
      <c r="B117" s="112" t="s">
        <v>495</v>
      </c>
      <c r="C117" s="103">
        <v>90.0</v>
      </c>
      <c r="D117" s="104">
        <v>125.0</v>
      </c>
      <c r="E117" s="103">
        <v>500.0</v>
      </c>
      <c r="F117" s="104">
        <v>48.0</v>
      </c>
      <c r="G117" s="132" t="s">
        <v>494</v>
      </c>
      <c r="H117" s="156" t="s">
        <v>80</v>
      </c>
      <c r="I117" s="157" t="s">
        <v>80</v>
      </c>
      <c r="J117" s="103" t="s">
        <v>35</v>
      </c>
      <c r="K117" s="109">
        <v>2900.0</v>
      </c>
      <c r="L117" s="109">
        <v>167.0</v>
      </c>
      <c r="M117" s="110">
        <f t="shared" si="28"/>
        <v>0.31837</v>
      </c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ht="18.0" customHeight="1">
      <c r="A118" s="77"/>
      <c r="B118" s="112" t="s">
        <v>496</v>
      </c>
      <c r="C118" s="103">
        <v>110.0</v>
      </c>
      <c r="D118" s="104">
        <v>150.0</v>
      </c>
      <c r="E118" s="103">
        <v>500.0</v>
      </c>
      <c r="F118" s="104">
        <v>57.2</v>
      </c>
      <c r="G118" s="132" t="s">
        <v>494</v>
      </c>
      <c r="H118" s="156" t="s">
        <v>80</v>
      </c>
      <c r="I118" s="157" t="s">
        <v>80</v>
      </c>
      <c r="J118" s="103" t="s">
        <v>35</v>
      </c>
      <c r="K118" s="109">
        <v>2900.0</v>
      </c>
      <c r="L118" s="109">
        <v>168.0</v>
      </c>
      <c r="M118" s="110">
        <f t="shared" si="28"/>
        <v>0.31837</v>
      </c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ht="18.0" customHeight="1">
      <c r="A119" s="77"/>
      <c r="B119" s="112" t="s">
        <v>497</v>
      </c>
      <c r="C119" s="103">
        <v>132.0</v>
      </c>
      <c r="D119" s="104">
        <v>180.0</v>
      </c>
      <c r="E119" s="103">
        <v>500.0</v>
      </c>
      <c r="F119" s="104">
        <v>63.2</v>
      </c>
      <c r="G119" s="132" t="s">
        <v>494</v>
      </c>
      <c r="H119" s="156" t="s">
        <v>80</v>
      </c>
      <c r="I119" s="157" t="s">
        <v>80</v>
      </c>
      <c r="J119" s="103" t="s">
        <v>35</v>
      </c>
      <c r="K119" s="109">
        <v>2900.0</v>
      </c>
      <c r="L119" s="109">
        <v>169.0</v>
      </c>
      <c r="M119" s="110">
        <f t="shared" si="28"/>
        <v>0.31837</v>
      </c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ht="18.0" customHeight="1">
      <c r="A120" s="77"/>
      <c r="B120" s="112" t="s">
        <v>498</v>
      </c>
      <c r="C120" s="103">
        <v>160.0</v>
      </c>
      <c r="D120" s="104">
        <v>220.0</v>
      </c>
      <c r="E120" s="103">
        <v>500.0</v>
      </c>
      <c r="F120" s="104">
        <v>69.2</v>
      </c>
      <c r="G120" s="132" t="s">
        <v>494</v>
      </c>
      <c r="H120" s="156" t="s">
        <v>80</v>
      </c>
      <c r="I120" s="157" t="s">
        <v>80</v>
      </c>
      <c r="J120" s="103" t="s">
        <v>35</v>
      </c>
      <c r="K120" s="109">
        <v>2900.0</v>
      </c>
      <c r="L120" s="109">
        <v>170.0</v>
      </c>
      <c r="M120" s="110">
        <f t="shared" si="28"/>
        <v>0.31837</v>
      </c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ht="18.0" customHeight="1">
      <c r="A121" s="77"/>
      <c r="B121" s="112" t="s">
        <v>499</v>
      </c>
      <c r="C121" s="103">
        <v>110.0</v>
      </c>
      <c r="D121" s="104">
        <v>150.0</v>
      </c>
      <c r="E121" s="103">
        <v>500.0</v>
      </c>
      <c r="F121" s="104">
        <v>55.8</v>
      </c>
      <c r="G121" s="132" t="s">
        <v>494</v>
      </c>
      <c r="H121" s="156" t="s">
        <v>80</v>
      </c>
      <c r="I121" s="157" t="s">
        <v>80</v>
      </c>
      <c r="J121" s="103" t="s">
        <v>35</v>
      </c>
      <c r="K121" s="109">
        <v>2900.0</v>
      </c>
      <c r="L121" s="109">
        <v>180.0</v>
      </c>
      <c r="M121" s="110">
        <f>0.71*0.64*0.79</f>
        <v>0.358976</v>
      </c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ht="18.0" customHeight="1">
      <c r="A122" s="77"/>
      <c r="B122" s="112" t="s">
        <v>500</v>
      </c>
      <c r="C122" s="103">
        <v>132.0</v>
      </c>
      <c r="D122" s="104">
        <v>180.0</v>
      </c>
      <c r="E122" s="103">
        <v>660.0</v>
      </c>
      <c r="F122" s="104">
        <v>62.0</v>
      </c>
      <c r="G122" s="132" t="s">
        <v>494</v>
      </c>
      <c r="H122" s="156" t="s">
        <v>80</v>
      </c>
      <c r="I122" s="157" t="s">
        <v>80</v>
      </c>
      <c r="J122" s="103" t="s">
        <v>35</v>
      </c>
      <c r="K122" s="109">
        <v>2900.0</v>
      </c>
      <c r="L122" s="109">
        <v>181.0</v>
      </c>
      <c r="M122" s="110">
        <v>0.358976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ht="18.0" customHeight="1">
      <c r="A123" s="77"/>
      <c r="B123" s="112" t="s">
        <v>501</v>
      </c>
      <c r="C123" s="103">
        <v>160.0</v>
      </c>
      <c r="D123" s="104">
        <v>220.0</v>
      </c>
      <c r="E123" s="103">
        <v>660.0</v>
      </c>
      <c r="F123" s="104">
        <v>75.0</v>
      </c>
      <c r="G123" s="132" t="s">
        <v>494</v>
      </c>
      <c r="H123" s="156" t="s">
        <v>80</v>
      </c>
      <c r="I123" s="157" t="s">
        <v>80</v>
      </c>
      <c r="J123" s="103" t="s">
        <v>35</v>
      </c>
      <c r="K123" s="109">
        <v>2900.0</v>
      </c>
      <c r="L123" s="109">
        <v>182.0</v>
      </c>
      <c r="M123" s="110">
        <v>0.358976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ht="18.0" customHeight="1">
      <c r="A124" s="77"/>
      <c r="B124" s="112" t="s">
        <v>502</v>
      </c>
      <c r="C124" s="103">
        <v>200.0</v>
      </c>
      <c r="D124" s="104">
        <v>270.0</v>
      </c>
      <c r="E124" s="103">
        <v>660.0</v>
      </c>
      <c r="F124" s="104">
        <v>85.0</v>
      </c>
      <c r="G124" s="132" t="s">
        <v>494</v>
      </c>
      <c r="H124" s="156" t="s">
        <v>80</v>
      </c>
      <c r="I124" s="157" t="s">
        <v>80</v>
      </c>
      <c r="J124" s="103" t="s">
        <v>35</v>
      </c>
      <c r="K124" s="109">
        <v>2900.0</v>
      </c>
      <c r="L124" s="109">
        <v>183.0</v>
      </c>
      <c r="M124" s="110">
        <v>0.358976</v>
      </c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ht="18.0" customHeight="1">
      <c r="A125" s="77"/>
      <c r="B125" s="112" t="s">
        <v>503</v>
      </c>
      <c r="C125" s="103">
        <v>185.0</v>
      </c>
      <c r="D125" s="104">
        <v>250.0</v>
      </c>
      <c r="E125" s="103">
        <v>500.0</v>
      </c>
      <c r="F125" s="104">
        <v>82.8</v>
      </c>
      <c r="G125" s="132" t="s">
        <v>494</v>
      </c>
      <c r="H125" s="156" t="s">
        <v>80</v>
      </c>
      <c r="I125" s="157" t="s">
        <v>80</v>
      </c>
      <c r="J125" s="103" t="s">
        <v>35</v>
      </c>
      <c r="K125" s="109">
        <v>2900.0</v>
      </c>
      <c r="L125" s="109">
        <v>197.0</v>
      </c>
      <c r="M125" s="110">
        <v>0.380622</v>
      </c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ht="18.0" customHeight="1">
      <c r="A126" s="77"/>
      <c r="B126" s="112" t="s">
        <v>504</v>
      </c>
      <c r="C126" s="103">
        <v>250.0</v>
      </c>
      <c r="D126" s="104">
        <v>340.0</v>
      </c>
      <c r="E126" s="103">
        <v>660.0</v>
      </c>
      <c r="F126" s="104">
        <v>92.0</v>
      </c>
      <c r="G126" s="132" t="s">
        <v>494</v>
      </c>
      <c r="H126" s="156" t="s">
        <v>80</v>
      </c>
      <c r="I126" s="157" t="s">
        <v>80</v>
      </c>
      <c r="J126" s="103" t="s">
        <v>35</v>
      </c>
      <c r="K126" s="109">
        <v>2900.0</v>
      </c>
      <c r="L126" s="109">
        <v>198.0</v>
      </c>
      <c r="M126" s="110">
        <v>0.380622</v>
      </c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ht="18.0" customHeight="1">
      <c r="A127" s="77"/>
      <c r="B127" s="112" t="s">
        <v>505</v>
      </c>
      <c r="C127" s="103">
        <v>280.0</v>
      </c>
      <c r="D127" s="104">
        <v>380.0</v>
      </c>
      <c r="E127" s="103">
        <v>660.0</v>
      </c>
      <c r="F127" s="104">
        <v>105.0</v>
      </c>
      <c r="G127" s="132" t="s">
        <v>494</v>
      </c>
      <c r="H127" s="156" t="s">
        <v>80</v>
      </c>
      <c r="I127" s="157" t="s">
        <v>80</v>
      </c>
      <c r="J127" s="103" t="s">
        <v>35</v>
      </c>
      <c r="K127" s="109">
        <v>2900.0</v>
      </c>
      <c r="L127" s="109">
        <v>199.0</v>
      </c>
      <c r="M127" s="110">
        <v>0.380622</v>
      </c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ht="18.0" customHeight="1">
      <c r="A128" s="77"/>
      <c r="B128" s="112" t="s">
        <v>506</v>
      </c>
      <c r="C128" s="103">
        <v>315.0</v>
      </c>
      <c r="D128" s="104">
        <v>430.0</v>
      </c>
      <c r="E128" s="103">
        <v>660.0</v>
      </c>
      <c r="F128" s="104">
        <v>118.0</v>
      </c>
      <c r="G128" s="132" t="s">
        <v>494</v>
      </c>
      <c r="H128" s="156" t="s">
        <v>80</v>
      </c>
      <c r="I128" s="157" t="s">
        <v>80</v>
      </c>
      <c r="J128" s="103" t="s">
        <v>35</v>
      </c>
      <c r="K128" s="109">
        <v>2900.0</v>
      </c>
      <c r="L128" s="109">
        <v>200.0</v>
      </c>
      <c r="M128" s="110">
        <v>0.380622</v>
      </c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ht="18.0" customHeight="1">
      <c r="A129" s="77"/>
      <c r="B129" s="112" t="s">
        <v>507</v>
      </c>
      <c r="C129" s="103">
        <v>1.1</v>
      </c>
      <c r="D129" s="104">
        <v>1.5</v>
      </c>
      <c r="E129" s="103">
        <v>45.0</v>
      </c>
      <c r="F129" s="104">
        <v>6.3</v>
      </c>
      <c r="G129" s="132" t="s">
        <v>425</v>
      </c>
      <c r="H129" s="106">
        <v>476.74756499999995</v>
      </c>
      <c r="I129" s="107">
        <v>789.7581299999998</v>
      </c>
      <c r="J129" s="103" t="s">
        <v>35</v>
      </c>
      <c r="K129" s="109">
        <v>1450.0</v>
      </c>
      <c r="L129" s="109">
        <v>45.0</v>
      </c>
      <c r="M129" s="110">
        <f t="shared" ref="M129:M131" si="29">0.48*0.3*0.42</f>
        <v>0.06048</v>
      </c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ht="18.0" customHeight="1">
      <c r="A130" s="77"/>
      <c r="B130" s="112" t="s">
        <v>508</v>
      </c>
      <c r="C130" s="103">
        <v>1.5</v>
      </c>
      <c r="D130" s="104">
        <v>2.0</v>
      </c>
      <c r="E130" s="103">
        <v>45.0</v>
      </c>
      <c r="F130" s="104">
        <v>7.4</v>
      </c>
      <c r="G130" s="132" t="s">
        <v>425</v>
      </c>
      <c r="H130" s="106">
        <v>479.2036199999999</v>
      </c>
      <c r="I130" s="107">
        <v>818.685</v>
      </c>
      <c r="J130" s="103" t="s">
        <v>35</v>
      </c>
      <c r="K130" s="109">
        <v>1450.0</v>
      </c>
      <c r="L130" s="109">
        <v>45.0</v>
      </c>
      <c r="M130" s="110">
        <f t="shared" si="29"/>
        <v>0.06048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ht="18.0" customHeight="1">
      <c r="A131" s="77"/>
      <c r="B131" s="112" t="s">
        <v>509</v>
      </c>
      <c r="C131" s="103">
        <v>2.2</v>
      </c>
      <c r="D131" s="104">
        <v>3.0</v>
      </c>
      <c r="E131" s="103">
        <v>45.0</v>
      </c>
      <c r="F131" s="104">
        <v>9.0</v>
      </c>
      <c r="G131" s="132" t="s">
        <v>425</v>
      </c>
      <c r="H131" s="106">
        <v>481.38677999999993</v>
      </c>
      <c r="I131" s="107">
        <v>928.6616849999998</v>
      </c>
      <c r="J131" s="103" t="s">
        <v>35</v>
      </c>
      <c r="K131" s="109">
        <v>1450.0</v>
      </c>
      <c r="L131" s="109">
        <v>45.0</v>
      </c>
      <c r="M131" s="110">
        <f t="shared" si="29"/>
        <v>0.06048</v>
      </c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ht="18.0" customHeight="1">
      <c r="A132" s="77"/>
      <c r="B132" s="112" t="s">
        <v>510</v>
      </c>
      <c r="C132" s="103">
        <v>1.5</v>
      </c>
      <c r="D132" s="104">
        <v>2.0</v>
      </c>
      <c r="E132" s="103">
        <v>45.0</v>
      </c>
      <c r="F132" s="104">
        <v>8.2</v>
      </c>
      <c r="G132" s="132" t="s">
        <v>425</v>
      </c>
      <c r="H132" s="106">
        <v>514.1341799999999</v>
      </c>
      <c r="I132" s="107">
        <v>856.8902999999999</v>
      </c>
      <c r="J132" s="103" t="s">
        <v>35</v>
      </c>
      <c r="K132" s="109">
        <v>1450.0</v>
      </c>
      <c r="L132" s="109">
        <v>50.0</v>
      </c>
      <c r="M132" s="110">
        <f t="shared" ref="M132:M134" si="30">48*34*42/1000000</f>
        <v>0.068544</v>
      </c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ht="18.0" customHeight="1">
      <c r="A133" s="77"/>
      <c r="B133" s="112" t="s">
        <v>511</v>
      </c>
      <c r="C133" s="103">
        <v>2.2</v>
      </c>
      <c r="D133" s="104">
        <v>3.0</v>
      </c>
      <c r="E133" s="103">
        <v>45.0</v>
      </c>
      <c r="F133" s="104">
        <v>11.0</v>
      </c>
      <c r="G133" s="132" t="s">
        <v>425</v>
      </c>
      <c r="H133" s="106">
        <v>516.86313</v>
      </c>
      <c r="I133" s="107">
        <v>938.7588</v>
      </c>
      <c r="J133" s="103" t="s">
        <v>35</v>
      </c>
      <c r="K133" s="109">
        <v>1450.0</v>
      </c>
      <c r="L133" s="109">
        <v>50.0</v>
      </c>
      <c r="M133" s="110">
        <f t="shared" si="30"/>
        <v>0.068544</v>
      </c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ht="18.0" customHeight="1">
      <c r="A134" s="77"/>
      <c r="B134" s="112" t="s">
        <v>512</v>
      </c>
      <c r="C134" s="103">
        <v>3.0</v>
      </c>
      <c r="D134" s="104">
        <v>4.0</v>
      </c>
      <c r="E134" s="103">
        <v>45.0</v>
      </c>
      <c r="F134" s="104">
        <v>13.1</v>
      </c>
      <c r="G134" s="132" t="s">
        <v>425</v>
      </c>
      <c r="H134" s="106">
        <v>519.8649749999998</v>
      </c>
      <c r="I134" s="107">
        <v>1050.9186449999997</v>
      </c>
      <c r="J134" s="103" t="s">
        <v>35</v>
      </c>
      <c r="K134" s="109">
        <v>1450.0</v>
      </c>
      <c r="L134" s="109">
        <v>50.0</v>
      </c>
      <c r="M134" s="110">
        <f t="shared" si="30"/>
        <v>0.068544</v>
      </c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ht="18.0" customHeight="1">
      <c r="A135" s="77"/>
      <c r="B135" s="112" t="s">
        <v>513</v>
      </c>
      <c r="C135" s="103">
        <v>3.0</v>
      </c>
      <c r="D135" s="104">
        <v>4.0</v>
      </c>
      <c r="E135" s="103">
        <v>45.0</v>
      </c>
      <c r="F135" s="104">
        <v>12.6</v>
      </c>
      <c r="G135" s="132" t="s">
        <v>425</v>
      </c>
      <c r="H135" s="106">
        <v>538.6947299999999</v>
      </c>
      <c r="I135" s="107">
        <v>1098.402375</v>
      </c>
      <c r="J135" s="103" t="s">
        <v>35</v>
      </c>
      <c r="K135" s="109">
        <v>1450.0</v>
      </c>
      <c r="L135" s="109">
        <v>71.0</v>
      </c>
      <c r="M135" s="110">
        <f t="shared" ref="M135:M137" si="31">59*36*50/1000000</f>
        <v>0.1062</v>
      </c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ht="18.0" customHeight="1">
      <c r="A136" s="77"/>
      <c r="B136" s="112" t="s">
        <v>514</v>
      </c>
      <c r="C136" s="103">
        <v>4.0</v>
      </c>
      <c r="D136" s="104">
        <v>5.5</v>
      </c>
      <c r="E136" s="103">
        <v>45.0</v>
      </c>
      <c r="F136" s="104">
        <v>16.9</v>
      </c>
      <c r="G136" s="132" t="s">
        <v>425</v>
      </c>
      <c r="H136" s="106">
        <v>541.6965749999999</v>
      </c>
      <c r="I136" s="107">
        <v>1196.2937099999997</v>
      </c>
      <c r="J136" s="103" t="s">
        <v>35</v>
      </c>
      <c r="K136" s="109">
        <v>1450.0</v>
      </c>
      <c r="L136" s="109">
        <v>71.0</v>
      </c>
      <c r="M136" s="110">
        <f t="shared" si="31"/>
        <v>0.1062</v>
      </c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ht="18.0" customHeight="1">
      <c r="A137" s="77"/>
      <c r="B137" s="112" t="s">
        <v>515</v>
      </c>
      <c r="C137" s="103">
        <v>5.5</v>
      </c>
      <c r="D137" s="104">
        <v>7.5</v>
      </c>
      <c r="E137" s="103">
        <v>45.0</v>
      </c>
      <c r="F137" s="104">
        <v>19.9</v>
      </c>
      <c r="G137" s="132" t="s">
        <v>425</v>
      </c>
      <c r="H137" s="106">
        <v>544.4255249999999</v>
      </c>
      <c r="I137" s="107">
        <v>1461.6256199999998</v>
      </c>
      <c r="J137" s="103" t="s">
        <v>35</v>
      </c>
      <c r="K137" s="109">
        <v>1450.0</v>
      </c>
      <c r="L137" s="109">
        <v>71.0</v>
      </c>
      <c r="M137" s="110">
        <f t="shared" si="31"/>
        <v>0.1062</v>
      </c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ht="18.0" customHeight="1">
      <c r="A138" s="77"/>
      <c r="B138" s="112" t="s">
        <v>516</v>
      </c>
      <c r="C138" s="103">
        <v>4.0</v>
      </c>
      <c r="D138" s="104">
        <v>5.5</v>
      </c>
      <c r="E138" s="103">
        <v>42.0</v>
      </c>
      <c r="F138" s="104">
        <v>16.7</v>
      </c>
      <c r="G138" s="132" t="s">
        <v>425</v>
      </c>
      <c r="H138" s="106">
        <v>852.7968749999998</v>
      </c>
      <c r="I138" s="107">
        <v>1588.1319449999996</v>
      </c>
      <c r="J138" s="103" t="s">
        <v>35</v>
      </c>
      <c r="K138" s="109">
        <v>1450.0</v>
      </c>
      <c r="L138" s="109">
        <v>119.0</v>
      </c>
      <c r="M138" s="110">
        <v>0.202</v>
      </c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ht="18.0" customHeight="1">
      <c r="A139" s="77"/>
      <c r="B139" s="112" t="s">
        <v>517</v>
      </c>
      <c r="C139" s="103">
        <v>5.5</v>
      </c>
      <c r="D139" s="104">
        <v>7.5</v>
      </c>
      <c r="E139" s="103">
        <v>45.0</v>
      </c>
      <c r="F139" s="104">
        <v>20.2</v>
      </c>
      <c r="G139" s="132" t="s">
        <v>425</v>
      </c>
      <c r="H139" s="106">
        <v>854.1613499999999</v>
      </c>
      <c r="I139" s="107">
        <v>1704.4631849999996</v>
      </c>
      <c r="J139" s="103" t="s">
        <v>35</v>
      </c>
      <c r="K139" s="109">
        <v>1450.0</v>
      </c>
      <c r="L139" s="109">
        <v>119.0</v>
      </c>
      <c r="M139" s="110">
        <v>0.202</v>
      </c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ht="18.0" customHeight="1">
      <c r="A140" s="77"/>
      <c r="B140" s="112" t="s">
        <v>518</v>
      </c>
      <c r="C140" s="103">
        <v>7.5</v>
      </c>
      <c r="D140" s="104">
        <v>10.0</v>
      </c>
      <c r="E140" s="103">
        <v>45.0</v>
      </c>
      <c r="F140" s="104">
        <v>24.9</v>
      </c>
      <c r="G140" s="132" t="s">
        <v>425</v>
      </c>
      <c r="H140" s="106">
        <v>855.7987199999998</v>
      </c>
      <c r="I140" s="107">
        <v>1794.4405649999994</v>
      </c>
      <c r="J140" s="103" t="s">
        <v>35</v>
      </c>
      <c r="K140" s="109">
        <v>1450.0</v>
      </c>
      <c r="L140" s="109">
        <v>119.0</v>
      </c>
      <c r="M140" s="110">
        <v>0.202</v>
      </c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ht="18.0" customHeight="1">
      <c r="A141" s="77"/>
      <c r="B141" s="112" t="s">
        <v>519</v>
      </c>
      <c r="C141" s="103">
        <v>11.0</v>
      </c>
      <c r="D141" s="104">
        <v>15.0</v>
      </c>
      <c r="E141" s="103">
        <v>72.0</v>
      </c>
      <c r="F141" s="104">
        <v>30.2</v>
      </c>
      <c r="G141" s="132" t="s">
        <v>425</v>
      </c>
      <c r="H141" s="106">
        <v>858.2547749999999</v>
      </c>
      <c r="I141" s="107">
        <v>2074.118955</v>
      </c>
      <c r="J141" s="103" t="s">
        <v>35</v>
      </c>
      <c r="K141" s="109">
        <v>1450.0</v>
      </c>
      <c r="L141" s="109">
        <v>119.0</v>
      </c>
      <c r="M141" s="110">
        <v>0.202</v>
      </c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ht="18.0" customHeight="1">
      <c r="A142" s="77"/>
      <c r="B142" s="112" t="s">
        <v>520</v>
      </c>
      <c r="C142" s="103">
        <v>15.0</v>
      </c>
      <c r="D142" s="104">
        <v>20.0</v>
      </c>
      <c r="E142" s="103">
        <v>72.0</v>
      </c>
      <c r="F142" s="104">
        <v>35.4</v>
      </c>
      <c r="G142" s="132" t="s">
        <v>425</v>
      </c>
      <c r="H142" s="106">
        <v>860.4379349999998</v>
      </c>
      <c r="I142" s="107">
        <v>2213.5293149999993</v>
      </c>
      <c r="J142" s="103" t="s">
        <v>35</v>
      </c>
      <c r="K142" s="109">
        <v>1450.0</v>
      </c>
      <c r="L142" s="109">
        <v>119.0</v>
      </c>
      <c r="M142" s="110">
        <v>0.202</v>
      </c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ht="18.0" customHeight="1">
      <c r="A143" s="77"/>
      <c r="B143" s="112" t="s">
        <v>521</v>
      </c>
      <c r="C143" s="103">
        <v>1.5</v>
      </c>
      <c r="D143" s="104">
        <v>2.0</v>
      </c>
      <c r="E143" s="103">
        <v>60.0</v>
      </c>
      <c r="F143" s="104">
        <v>6.4</v>
      </c>
      <c r="G143" s="132" t="s">
        <v>442</v>
      </c>
      <c r="H143" s="106">
        <v>487.39046999999994</v>
      </c>
      <c r="I143" s="107">
        <v>924.0224699999997</v>
      </c>
      <c r="J143" s="103" t="s">
        <v>35</v>
      </c>
      <c r="K143" s="109">
        <v>1450.0</v>
      </c>
      <c r="L143" s="109">
        <v>48.0</v>
      </c>
      <c r="M143" s="110">
        <f t="shared" ref="M143:M144" si="32">0.5*0.37*0.48</f>
        <v>0.0888</v>
      </c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ht="18.0" customHeight="1">
      <c r="A144" s="77"/>
      <c r="B144" s="112" t="s">
        <v>522</v>
      </c>
      <c r="C144" s="103">
        <v>2.2</v>
      </c>
      <c r="D144" s="104">
        <v>3.0</v>
      </c>
      <c r="E144" s="103">
        <v>72.0</v>
      </c>
      <c r="F144" s="104">
        <v>7.4</v>
      </c>
      <c r="G144" s="132" t="s">
        <v>442</v>
      </c>
      <c r="H144" s="106">
        <v>491.75678999999997</v>
      </c>
      <c r="I144" s="107">
        <v>1007.5283399999998</v>
      </c>
      <c r="J144" s="103" t="s">
        <v>35</v>
      </c>
      <c r="K144" s="109">
        <v>1450.0</v>
      </c>
      <c r="L144" s="109">
        <v>48.0</v>
      </c>
      <c r="M144" s="110">
        <f t="shared" si="32"/>
        <v>0.0888</v>
      </c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ht="18.0" customHeight="1">
      <c r="A145" s="77"/>
      <c r="B145" s="112" t="s">
        <v>523</v>
      </c>
      <c r="C145" s="103">
        <v>3.0</v>
      </c>
      <c r="D145" s="104">
        <v>4.0</v>
      </c>
      <c r="E145" s="103">
        <v>60.0</v>
      </c>
      <c r="F145" s="104">
        <v>10.1</v>
      </c>
      <c r="G145" s="132" t="s">
        <v>442</v>
      </c>
      <c r="H145" s="106">
        <v>579.3560849999999</v>
      </c>
      <c r="I145" s="107">
        <v>1139.0637299999999</v>
      </c>
      <c r="J145" s="103" t="s">
        <v>35</v>
      </c>
      <c r="K145" s="109">
        <v>1450.0</v>
      </c>
      <c r="L145" s="109">
        <v>65.0</v>
      </c>
      <c r="M145" s="110">
        <f t="shared" ref="M145:M146" si="33">66*35*46/1000000</f>
        <v>0.10626</v>
      </c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ht="18.0" customHeight="1">
      <c r="A146" s="77"/>
      <c r="B146" s="112" t="s">
        <v>524</v>
      </c>
      <c r="C146" s="103">
        <v>4.0</v>
      </c>
      <c r="D146" s="104">
        <v>5.5</v>
      </c>
      <c r="E146" s="103">
        <v>72.0</v>
      </c>
      <c r="F146" s="104">
        <v>12.4</v>
      </c>
      <c r="G146" s="132" t="s">
        <v>442</v>
      </c>
      <c r="H146" s="106">
        <v>582.3579299999999</v>
      </c>
      <c r="I146" s="107">
        <v>1238.1635999999999</v>
      </c>
      <c r="J146" s="103" t="s">
        <v>35</v>
      </c>
      <c r="K146" s="109">
        <v>1450.0</v>
      </c>
      <c r="L146" s="109">
        <v>65.0</v>
      </c>
      <c r="M146" s="110">
        <f t="shared" si="33"/>
        <v>0.10626</v>
      </c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ht="18.0" customHeight="1">
      <c r="A147" s="77"/>
      <c r="B147" s="112" t="s">
        <v>525</v>
      </c>
      <c r="C147" s="103">
        <v>4.0</v>
      </c>
      <c r="D147" s="104">
        <v>5.5</v>
      </c>
      <c r="E147" s="103">
        <v>60.0</v>
      </c>
      <c r="F147" s="104">
        <v>14.8</v>
      </c>
      <c r="G147" s="132" t="s">
        <v>442</v>
      </c>
      <c r="H147" s="106">
        <v>656.8582649999998</v>
      </c>
      <c r="I147" s="107">
        <v>1345.8011849999996</v>
      </c>
      <c r="J147" s="103" t="s">
        <v>35</v>
      </c>
      <c r="K147" s="109">
        <v>1450.0</v>
      </c>
      <c r="L147" s="109">
        <v>79.0</v>
      </c>
      <c r="M147" s="110">
        <f t="shared" ref="M147:M150" si="34">66*40*54/1000000</f>
        <v>0.14256</v>
      </c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ht="18.0" customHeight="1">
      <c r="A148" s="77"/>
      <c r="B148" s="112" t="s">
        <v>526</v>
      </c>
      <c r="C148" s="103">
        <v>5.5</v>
      </c>
      <c r="D148" s="104">
        <v>7.5</v>
      </c>
      <c r="E148" s="103">
        <v>72.0</v>
      </c>
      <c r="F148" s="104">
        <v>17.2</v>
      </c>
      <c r="G148" s="132" t="s">
        <v>442</v>
      </c>
      <c r="H148" s="106">
        <v>662.5890599999999</v>
      </c>
      <c r="I148" s="107">
        <v>1466.4207749999998</v>
      </c>
      <c r="J148" s="103" t="s">
        <v>35</v>
      </c>
      <c r="K148" s="109">
        <v>1450.0</v>
      </c>
      <c r="L148" s="109">
        <v>79.0</v>
      </c>
      <c r="M148" s="110">
        <f t="shared" si="34"/>
        <v>0.14256</v>
      </c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ht="18.0" customHeight="1">
      <c r="A149" s="77"/>
      <c r="B149" s="112" t="s">
        <v>527</v>
      </c>
      <c r="C149" s="103">
        <v>7.5</v>
      </c>
      <c r="D149" s="104">
        <v>10.0</v>
      </c>
      <c r="E149" s="103">
        <v>72.0</v>
      </c>
      <c r="F149" s="104">
        <v>21.3</v>
      </c>
      <c r="G149" s="132" t="s">
        <v>442</v>
      </c>
      <c r="H149" s="106">
        <v>668.319855</v>
      </c>
      <c r="I149" s="107">
        <v>1560.5695499999997</v>
      </c>
      <c r="J149" s="103" t="s">
        <v>35</v>
      </c>
      <c r="K149" s="109">
        <v>1450.0</v>
      </c>
      <c r="L149" s="109">
        <v>79.0</v>
      </c>
      <c r="M149" s="110">
        <f t="shared" si="34"/>
        <v>0.14256</v>
      </c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ht="18.0" customHeight="1">
      <c r="A150" s="77"/>
      <c r="B150" s="112" t="s">
        <v>528</v>
      </c>
      <c r="C150" s="103">
        <v>11.0</v>
      </c>
      <c r="D150" s="104">
        <v>15.0</v>
      </c>
      <c r="E150" s="103">
        <v>84.0</v>
      </c>
      <c r="F150" s="104">
        <v>23.9</v>
      </c>
      <c r="G150" s="132" t="s">
        <v>442</v>
      </c>
      <c r="H150" s="106">
        <v>671.3216999999999</v>
      </c>
      <c r="I150" s="107">
        <v>2018.4483749999997</v>
      </c>
      <c r="J150" s="103" t="s">
        <v>35</v>
      </c>
      <c r="K150" s="109">
        <v>1450.0</v>
      </c>
      <c r="L150" s="109">
        <v>79.0</v>
      </c>
      <c r="M150" s="110">
        <f t="shared" si="34"/>
        <v>0.14256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ht="18.0" customHeight="1">
      <c r="A151" s="77"/>
      <c r="B151" s="112" t="s">
        <v>529</v>
      </c>
      <c r="C151" s="103">
        <v>5.5</v>
      </c>
      <c r="D151" s="104">
        <v>7.5</v>
      </c>
      <c r="E151" s="103">
        <v>72.0</v>
      </c>
      <c r="F151" s="104">
        <v>16.8</v>
      </c>
      <c r="G151" s="132" t="s">
        <v>442</v>
      </c>
      <c r="H151" s="106">
        <v>983.5135799999999</v>
      </c>
      <c r="I151" s="107">
        <v>1920.9079049999998</v>
      </c>
      <c r="J151" s="103" t="s">
        <v>35</v>
      </c>
      <c r="K151" s="109">
        <v>1450.0</v>
      </c>
      <c r="L151" s="109">
        <v>127.0</v>
      </c>
      <c r="M151" s="110">
        <v>0.217</v>
      </c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ht="18.0" customHeight="1">
      <c r="A152" s="77"/>
      <c r="B152" s="112" t="s">
        <v>530</v>
      </c>
      <c r="C152" s="103">
        <v>7.5</v>
      </c>
      <c r="D152" s="104">
        <v>10.0</v>
      </c>
      <c r="E152" s="103">
        <v>72.0</v>
      </c>
      <c r="F152" s="104">
        <v>21.9</v>
      </c>
      <c r="G152" s="132" t="s">
        <v>442</v>
      </c>
      <c r="H152" s="106">
        <v>985.1509499999999</v>
      </c>
      <c r="I152" s="107">
        <v>2011.1581799999997</v>
      </c>
      <c r="J152" s="103" t="s">
        <v>35</v>
      </c>
      <c r="K152" s="109">
        <v>1450.0</v>
      </c>
      <c r="L152" s="109">
        <v>128.0</v>
      </c>
      <c r="M152" s="110">
        <v>0.217</v>
      </c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ht="18.0" customHeight="1">
      <c r="A153" s="77"/>
      <c r="B153" s="112" t="s">
        <v>531</v>
      </c>
      <c r="C153" s="103">
        <v>11.0</v>
      </c>
      <c r="D153" s="104">
        <v>15.0</v>
      </c>
      <c r="E153" s="103">
        <v>90.0</v>
      </c>
      <c r="F153" s="104">
        <v>26.3</v>
      </c>
      <c r="G153" s="132" t="s">
        <v>442</v>
      </c>
      <c r="H153" s="106">
        <v>986.5154249999998</v>
      </c>
      <c r="I153" s="107">
        <v>2289.9788999999996</v>
      </c>
      <c r="J153" s="103" t="s">
        <v>35</v>
      </c>
      <c r="K153" s="109">
        <v>1450.0</v>
      </c>
      <c r="L153" s="109">
        <v>129.0</v>
      </c>
      <c r="M153" s="110">
        <v>0.217</v>
      </c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ht="18.0" customHeight="1">
      <c r="A154" s="77"/>
      <c r="B154" s="112" t="s">
        <v>532</v>
      </c>
      <c r="C154" s="103">
        <v>15.0</v>
      </c>
      <c r="D154" s="104">
        <v>20.0</v>
      </c>
      <c r="E154" s="103">
        <v>90.0</v>
      </c>
      <c r="F154" s="104">
        <v>33.0</v>
      </c>
      <c r="G154" s="132" t="s">
        <v>442</v>
      </c>
      <c r="H154" s="106">
        <v>988.9714799999999</v>
      </c>
      <c r="I154" s="107">
        <v>2465.64531</v>
      </c>
      <c r="J154" s="103" t="s">
        <v>35</v>
      </c>
      <c r="K154" s="109">
        <v>1450.0</v>
      </c>
      <c r="L154" s="109">
        <v>130.0</v>
      </c>
      <c r="M154" s="110">
        <v>0.217</v>
      </c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ht="18.0" customHeight="1">
      <c r="A155" s="77"/>
      <c r="B155" s="112" t="s">
        <v>533</v>
      </c>
      <c r="C155" s="103">
        <v>18.5</v>
      </c>
      <c r="D155" s="104">
        <v>25.0</v>
      </c>
      <c r="E155" s="103">
        <v>90.0</v>
      </c>
      <c r="F155" s="104">
        <v>36.6</v>
      </c>
      <c r="G155" s="132" t="s">
        <v>442</v>
      </c>
      <c r="H155" s="106">
        <v>1464.3545699999997</v>
      </c>
      <c r="I155" s="107">
        <v>3213.6115199999995</v>
      </c>
      <c r="J155" s="103" t="s">
        <v>35</v>
      </c>
      <c r="K155" s="109">
        <v>1450.0</v>
      </c>
      <c r="L155" s="109">
        <v>150.0</v>
      </c>
      <c r="M155" s="110">
        <f t="shared" ref="M155:M158" si="35">0.45*0.72*0.79</f>
        <v>0.25596</v>
      </c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ht="18.0" customHeight="1">
      <c r="A156" s="77"/>
      <c r="B156" s="112" t="s">
        <v>534</v>
      </c>
      <c r="C156" s="103">
        <v>22.0</v>
      </c>
      <c r="D156" s="104">
        <v>30.0</v>
      </c>
      <c r="E156" s="103">
        <v>90.0</v>
      </c>
      <c r="F156" s="104">
        <v>42.0</v>
      </c>
      <c r="G156" s="132" t="s">
        <v>442</v>
      </c>
      <c r="H156" s="106">
        <v>1470.0853649999997</v>
      </c>
      <c r="I156" s="107">
        <v>3357.5051549999994</v>
      </c>
      <c r="J156" s="103" t="s">
        <v>35</v>
      </c>
      <c r="K156" s="109">
        <v>1450.0</v>
      </c>
      <c r="L156" s="109">
        <v>151.0</v>
      </c>
      <c r="M156" s="110">
        <f t="shared" si="35"/>
        <v>0.25596</v>
      </c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ht="18.0" customHeight="1">
      <c r="A157" s="77"/>
      <c r="B157" s="112" t="s">
        <v>535</v>
      </c>
      <c r="C157" s="103">
        <v>30.0</v>
      </c>
      <c r="D157" s="104">
        <v>40.0</v>
      </c>
      <c r="E157" s="103">
        <v>90.0</v>
      </c>
      <c r="F157" s="104">
        <v>52.8</v>
      </c>
      <c r="G157" s="132" t="s">
        <v>442</v>
      </c>
      <c r="H157" s="106">
        <v>1475.8161599999999</v>
      </c>
      <c r="I157" s="107">
        <v>3680.495879999999</v>
      </c>
      <c r="J157" s="103" t="s">
        <v>35</v>
      </c>
      <c r="K157" s="109">
        <v>1450.0</v>
      </c>
      <c r="L157" s="109">
        <v>152.0</v>
      </c>
      <c r="M157" s="110">
        <f t="shared" si="35"/>
        <v>0.25596</v>
      </c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ht="18.0" customHeight="1">
      <c r="A158" s="77"/>
      <c r="B158" s="112" t="s">
        <v>536</v>
      </c>
      <c r="C158" s="103">
        <v>37.0</v>
      </c>
      <c r="D158" s="104">
        <v>50.0</v>
      </c>
      <c r="E158" s="103">
        <v>140.0</v>
      </c>
      <c r="F158" s="104">
        <v>49.4</v>
      </c>
      <c r="G158" s="132" t="s">
        <v>442</v>
      </c>
      <c r="H158" s="106">
        <v>1481.5469549999998</v>
      </c>
      <c r="I158" s="107">
        <v>4131.903195</v>
      </c>
      <c r="J158" s="103" t="s">
        <v>35</v>
      </c>
      <c r="K158" s="109">
        <v>1450.0</v>
      </c>
      <c r="L158" s="109">
        <v>153.0</v>
      </c>
      <c r="M158" s="110">
        <f t="shared" si="35"/>
        <v>0.25596</v>
      </c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ht="18.0" customHeight="1">
      <c r="A159" s="77"/>
      <c r="B159" s="112" t="s">
        <v>537</v>
      </c>
      <c r="C159" s="103">
        <v>2.2</v>
      </c>
      <c r="D159" s="104">
        <v>3.0</v>
      </c>
      <c r="E159" s="103">
        <v>72.0</v>
      </c>
      <c r="F159" s="104">
        <v>5.3</v>
      </c>
      <c r="G159" s="132" t="s">
        <v>461</v>
      </c>
      <c r="H159" s="106">
        <v>490.39231499999994</v>
      </c>
      <c r="I159" s="107">
        <v>1008.8928149999998</v>
      </c>
      <c r="J159" s="103" t="s">
        <v>35</v>
      </c>
      <c r="K159" s="109">
        <v>1450.0</v>
      </c>
      <c r="L159" s="109">
        <v>60.0</v>
      </c>
      <c r="M159" s="110">
        <f t="shared" ref="M159:M161" si="36">0.5*0.38*0.58</f>
        <v>0.1102</v>
      </c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ht="18.0" customHeight="1">
      <c r="A160" s="77"/>
      <c r="B160" s="112" t="s">
        <v>538</v>
      </c>
      <c r="C160" s="103">
        <v>3.0</v>
      </c>
      <c r="D160" s="104">
        <v>4.0</v>
      </c>
      <c r="E160" s="103">
        <v>84.0</v>
      </c>
      <c r="F160" s="104">
        <v>7.3</v>
      </c>
      <c r="G160" s="132" t="s">
        <v>461</v>
      </c>
      <c r="H160" s="106">
        <v>493.66705499999995</v>
      </c>
      <c r="I160" s="107">
        <v>1035.9094199999997</v>
      </c>
      <c r="J160" s="103" t="s">
        <v>35</v>
      </c>
      <c r="K160" s="109">
        <v>1450.0</v>
      </c>
      <c r="L160" s="109">
        <v>60.0</v>
      </c>
      <c r="M160" s="110">
        <f t="shared" si="36"/>
        <v>0.1102</v>
      </c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ht="18.0" customHeight="1">
      <c r="A161" s="77"/>
      <c r="B161" s="112" t="s">
        <v>539</v>
      </c>
      <c r="C161" s="103">
        <v>4.0</v>
      </c>
      <c r="D161" s="104">
        <v>5.5</v>
      </c>
      <c r="E161" s="103">
        <v>96.0</v>
      </c>
      <c r="F161" s="104">
        <v>10.2</v>
      </c>
      <c r="G161" s="132" t="s">
        <v>461</v>
      </c>
      <c r="H161" s="106">
        <v>498.0333749999999</v>
      </c>
      <c r="I161" s="107">
        <v>1280.89116</v>
      </c>
      <c r="J161" s="103" t="s">
        <v>35</v>
      </c>
      <c r="K161" s="109">
        <v>1450.0</v>
      </c>
      <c r="L161" s="109">
        <v>60.0</v>
      </c>
      <c r="M161" s="110">
        <f t="shared" si="36"/>
        <v>0.1102</v>
      </c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ht="18.0" customHeight="1">
      <c r="A162" s="77"/>
      <c r="B162" s="112" t="s">
        <v>540</v>
      </c>
      <c r="C162" s="103">
        <v>4.0</v>
      </c>
      <c r="D162" s="104">
        <v>5.5</v>
      </c>
      <c r="E162" s="103">
        <v>96.0</v>
      </c>
      <c r="F162" s="104">
        <v>9.7</v>
      </c>
      <c r="G162" s="132" t="s">
        <v>461</v>
      </c>
      <c r="H162" s="106">
        <v>707.8896299999998</v>
      </c>
      <c r="I162" s="107">
        <v>1370.283765</v>
      </c>
      <c r="J162" s="103" t="s">
        <v>35</v>
      </c>
      <c r="K162" s="109">
        <v>1450.0</v>
      </c>
      <c r="L162" s="109">
        <v>75.0</v>
      </c>
      <c r="M162" s="110">
        <f t="shared" ref="M162:M165" si="37">66*38*54/1000000</f>
        <v>0.135432</v>
      </c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ht="18.0" customHeight="1">
      <c r="A163" s="77"/>
      <c r="B163" s="112" t="s">
        <v>541</v>
      </c>
      <c r="C163" s="103">
        <v>5.5</v>
      </c>
      <c r="D163" s="104">
        <v>7.5</v>
      </c>
      <c r="E163" s="103">
        <v>140.0</v>
      </c>
      <c r="F163" s="104">
        <v>9.6</v>
      </c>
      <c r="G163" s="132" t="s">
        <v>461</v>
      </c>
      <c r="H163" s="106">
        <v>711.7101599999997</v>
      </c>
      <c r="I163" s="107">
        <v>1489.1880149999997</v>
      </c>
      <c r="J163" s="103" t="s">
        <v>35</v>
      </c>
      <c r="K163" s="109">
        <v>1450.0</v>
      </c>
      <c r="L163" s="109">
        <v>75.0</v>
      </c>
      <c r="M163" s="110">
        <f t="shared" si="37"/>
        <v>0.135432</v>
      </c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ht="18.0" customHeight="1">
      <c r="A164" s="77"/>
      <c r="B164" s="112" t="s">
        <v>542</v>
      </c>
      <c r="C164" s="103">
        <v>7.5</v>
      </c>
      <c r="D164" s="104">
        <v>10.0</v>
      </c>
      <c r="E164" s="103">
        <v>140.0</v>
      </c>
      <c r="F164" s="104">
        <v>11.1</v>
      </c>
      <c r="G164" s="132" t="s">
        <v>461</v>
      </c>
      <c r="H164" s="106">
        <v>715.8035849999999</v>
      </c>
      <c r="I164" s="107">
        <v>1593.7457849999996</v>
      </c>
      <c r="J164" s="103" t="s">
        <v>35</v>
      </c>
      <c r="K164" s="109">
        <v>1450.0</v>
      </c>
      <c r="L164" s="109">
        <v>75.0</v>
      </c>
      <c r="M164" s="110">
        <f t="shared" si="37"/>
        <v>0.135432</v>
      </c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ht="18.0" customHeight="1">
      <c r="A165" s="77"/>
      <c r="B165" s="112" t="s">
        <v>543</v>
      </c>
      <c r="C165" s="103">
        <v>9.2</v>
      </c>
      <c r="D165" s="104">
        <v>12.5</v>
      </c>
      <c r="E165" s="103">
        <v>140.0</v>
      </c>
      <c r="F165" s="104">
        <v>12.8</v>
      </c>
      <c r="G165" s="132" t="s">
        <v>461</v>
      </c>
      <c r="H165" s="106">
        <v>719.8970099999998</v>
      </c>
      <c r="I165" s="107">
        <v>1785.7079249999997</v>
      </c>
      <c r="J165" s="103" t="s">
        <v>35</v>
      </c>
      <c r="K165" s="109">
        <v>1450.0</v>
      </c>
      <c r="L165" s="109">
        <v>75.0</v>
      </c>
      <c r="M165" s="110">
        <f t="shared" si="37"/>
        <v>0.135432</v>
      </c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ht="18.0" customHeight="1">
      <c r="A166" s="77"/>
      <c r="B166" s="112" t="s">
        <v>544</v>
      </c>
      <c r="C166" s="103">
        <v>5.5</v>
      </c>
      <c r="D166" s="104">
        <v>7.5</v>
      </c>
      <c r="E166" s="103">
        <v>96.0</v>
      </c>
      <c r="F166" s="104">
        <v>13.4</v>
      </c>
      <c r="G166" s="132" t="s">
        <v>461</v>
      </c>
      <c r="H166" s="106">
        <v>768.4723199999999</v>
      </c>
      <c r="I166" s="107">
        <v>1619.0470499999997</v>
      </c>
      <c r="J166" s="103" t="s">
        <v>35</v>
      </c>
      <c r="K166" s="109">
        <v>1450.0</v>
      </c>
      <c r="L166" s="109">
        <v>88.0</v>
      </c>
      <c r="M166" s="110">
        <f t="shared" ref="M166:M169" si="38">68*42*56/1000000</f>
        <v>0.159936</v>
      </c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ht="18.0" customHeight="1">
      <c r="A167" s="77"/>
      <c r="B167" s="112" t="s">
        <v>545</v>
      </c>
      <c r="C167" s="103">
        <v>7.5</v>
      </c>
      <c r="D167" s="104">
        <v>10.0</v>
      </c>
      <c r="E167" s="103">
        <v>96.0</v>
      </c>
      <c r="F167" s="104">
        <v>17.6</v>
      </c>
      <c r="G167" s="132" t="s">
        <v>461</v>
      </c>
      <c r="H167" s="106">
        <v>772.2928499999998</v>
      </c>
      <c r="I167" s="107">
        <v>1829.2931549999998</v>
      </c>
      <c r="J167" s="103" t="s">
        <v>35</v>
      </c>
      <c r="K167" s="109">
        <v>1450.0</v>
      </c>
      <c r="L167" s="109">
        <v>88.0</v>
      </c>
      <c r="M167" s="110">
        <f t="shared" si="38"/>
        <v>0.159936</v>
      </c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ht="18.0" customHeight="1">
      <c r="A168" s="77"/>
      <c r="B168" s="112" t="s">
        <v>546</v>
      </c>
      <c r="C168" s="103">
        <v>11.0</v>
      </c>
      <c r="D168" s="104">
        <v>15.0</v>
      </c>
      <c r="E168" s="103">
        <v>140.0</v>
      </c>
      <c r="F168" s="104">
        <v>19.7</v>
      </c>
      <c r="G168" s="132" t="s">
        <v>461</v>
      </c>
      <c r="H168" s="106">
        <v>777.2049599999998</v>
      </c>
      <c r="I168" s="107">
        <v>2052.755175</v>
      </c>
      <c r="J168" s="103" t="s">
        <v>35</v>
      </c>
      <c r="K168" s="109">
        <v>1450.0</v>
      </c>
      <c r="L168" s="109">
        <v>88.0</v>
      </c>
      <c r="M168" s="110">
        <f t="shared" si="38"/>
        <v>0.159936</v>
      </c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ht="18.0" customHeight="1">
      <c r="A169" s="77"/>
      <c r="B169" s="112" t="s">
        <v>547</v>
      </c>
      <c r="C169" s="103">
        <v>15.0</v>
      </c>
      <c r="D169" s="104">
        <v>20.0</v>
      </c>
      <c r="E169" s="103">
        <v>140.0</v>
      </c>
      <c r="F169" s="104">
        <v>23.2</v>
      </c>
      <c r="G169" s="132" t="s">
        <v>461</v>
      </c>
      <c r="H169" s="106">
        <v>781.5712799999999</v>
      </c>
      <c r="I169" s="107">
        <v>2171.6204399999997</v>
      </c>
      <c r="J169" s="103" t="s">
        <v>35</v>
      </c>
      <c r="K169" s="109">
        <v>1450.0</v>
      </c>
      <c r="L169" s="109">
        <v>88.0</v>
      </c>
      <c r="M169" s="110">
        <f t="shared" si="38"/>
        <v>0.159936</v>
      </c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ht="18.0" customHeight="1">
      <c r="A170" s="77"/>
      <c r="B170" s="112" t="s">
        <v>548</v>
      </c>
      <c r="C170" s="103">
        <v>15.0</v>
      </c>
      <c r="D170" s="104">
        <v>20.0</v>
      </c>
      <c r="E170" s="103">
        <v>140.0</v>
      </c>
      <c r="F170" s="104">
        <v>23.1</v>
      </c>
      <c r="G170" s="132" t="s">
        <v>461</v>
      </c>
      <c r="H170" s="106">
        <v>1086.6678899999997</v>
      </c>
      <c r="I170" s="107">
        <v>2597.4925799999996</v>
      </c>
      <c r="J170" s="103" t="s">
        <v>35</v>
      </c>
      <c r="K170" s="109">
        <v>1450.0</v>
      </c>
      <c r="L170" s="109">
        <v>157.0</v>
      </c>
      <c r="M170" s="110">
        <v>0.261</v>
      </c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ht="18.0" customHeight="1">
      <c r="A171" s="77"/>
      <c r="B171" s="112" t="s">
        <v>549</v>
      </c>
      <c r="C171" s="103">
        <v>18.5</v>
      </c>
      <c r="D171" s="104">
        <v>25.0</v>
      </c>
      <c r="E171" s="103">
        <v>140.0</v>
      </c>
      <c r="F171" s="104">
        <v>26.1</v>
      </c>
      <c r="G171" s="132" t="s">
        <v>461</v>
      </c>
      <c r="H171" s="106">
        <v>1089.1239449999998</v>
      </c>
      <c r="I171" s="107">
        <v>2827.3871249999993</v>
      </c>
      <c r="J171" s="103" t="s">
        <v>35</v>
      </c>
      <c r="K171" s="109">
        <v>1450.0</v>
      </c>
      <c r="L171" s="109">
        <v>158.0</v>
      </c>
      <c r="M171" s="110">
        <v>0.261</v>
      </c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ht="18.0" customHeight="1">
      <c r="A172" s="77"/>
      <c r="B172" s="112" t="s">
        <v>550</v>
      </c>
      <c r="C172" s="103">
        <v>22.0</v>
      </c>
      <c r="D172" s="104">
        <v>30.0</v>
      </c>
      <c r="E172" s="103">
        <v>150.0</v>
      </c>
      <c r="F172" s="104">
        <v>29.0</v>
      </c>
      <c r="G172" s="132" t="s">
        <v>461</v>
      </c>
      <c r="H172" s="106">
        <v>1091.3071049999999</v>
      </c>
      <c r="I172" s="107">
        <v>2967.655155</v>
      </c>
      <c r="J172" s="103" t="s">
        <v>35</v>
      </c>
      <c r="K172" s="109">
        <v>1450.0</v>
      </c>
      <c r="L172" s="109">
        <v>159.0</v>
      </c>
      <c r="M172" s="110">
        <v>0.261</v>
      </c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ht="18.0" customHeight="1">
      <c r="A173" s="77"/>
      <c r="B173" s="112" t="s">
        <v>551</v>
      </c>
      <c r="C173" s="103">
        <v>30.0</v>
      </c>
      <c r="D173" s="104">
        <v>40.0</v>
      </c>
      <c r="E173" s="103">
        <v>150.0</v>
      </c>
      <c r="F173" s="104">
        <v>32.4</v>
      </c>
      <c r="G173" s="132" t="s">
        <v>461</v>
      </c>
      <c r="H173" s="106">
        <v>1093.7631599999997</v>
      </c>
      <c r="I173" s="107">
        <v>3268.424429999999</v>
      </c>
      <c r="J173" s="103" t="s">
        <v>35</v>
      </c>
      <c r="K173" s="109">
        <v>1450.0</v>
      </c>
      <c r="L173" s="109">
        <v>160.0</v>
      </c>
      <c r="M173" s="110">
        <v>0.261</v>
      </c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ht="18.0" customHeight="1">
      <c r="A174" s="77"/>
      <c r="B174" s="112" t="s">
        <v>552</v>
      </c>
      <c r="C174" s="103">
        <v>30.0</v>
      </c>
      <c r="D174" s="104">
        <v>40.0</v>
      </c>
      <c r="E174" s="103">
        <v>140.0</v>
      </c>
      <c r="F174" s="104">
        <v>42.0</v>
      </c>
      <c r="G174" s="132" t="s">
        <v>461</v>
      </c>
      <c r="H174" s="106">
        <v>1521.6625199999996</v>
      </c>
      <c r="I174" s="107">
        <v>3740.0649599999997</v>
      </c>
      <c r="J174" s="103" t="s">
        <v>35</v>
      </c>
      <c r="K174" s="109">
        <v>1450.0</v>
      </c>
      <c r="L174" s="109">
        <v>178.0</v>
      </c>
      <c r="M174" s="110">
        <f t="shared" ref="M174:M177" si="39">0.55*0.72*0.79</f>
        <v>0.31284</v>
      </c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ht="18.0" customHeight="1">
      <c r="A175" s="77"/>
      <c r="B175" s="112" t="s">
        <v>553</v>
      </c>
      <c r="C175" s="103">
        <v>37.0</v>
      </c>
      <c r="D175" s="104">
        <v>50.0</v>
      </c>
      <c r="E175" s="103">
        <v>140.0</v>
      </c>
      <c r="F175" s="104">
        <v>47.5</v>
      </c>
      <c r="G175" s="132" t="s">
        <v>461</v>
      </c>
      <c r="H175" s="106">
        <v>1527.3933149999996</v>
      </c>
      <c r="I175" s="107">
        <v>4255.29072</v>
      </c>
      <c r="J175" s="103" t="s">
        <v>35</v>
      </c>
      <c r="K175" s="109">
        <v>1450.0</v>
      </c>
      <c r="L175" s="109">
        <v>179.0</v>
      </c>
      <c r="M175" s="110">
        <f t="shared" si="39"/>
        <v>0.31284</v>
      </c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ht="18.0" customHeight="1">
      <c r="A176" s="77"/>
      <c r="B176" s="112" t="s">
        <v>554</v>
      </c>
      <c r="C176" s="103">
        <v>45.0</v>
      </c>
      <c r="D176" s="104">
        <v>60.0</v>
      </c>
      <c r="E176" s="103">
        <v>150.0</v>
      </c>
      <c r="F176" s="104">
        <v>52.0</v>
      </c>
      <c r="G176" s="132" t="s">
        <v>461</v>
      </c>
      <c r="H176" s="156" t="s">
        <v>80</v>
      </c>
      <c r="I176" s="157" t="s">
        <v>80</v>
      </c>
      <c r="J176" s="103" t="s">
        <v>35</v>
      </c>
      <c r="K176" s="109">
        <v>1450.0</v>
      </c>
      <c r="L176" s="109">
        <v>180.0</v>
      </c>
      <c r="M176" s="110">
        <f t="shared" si="39"/>
        <v>0.31284</v>
      </c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ht="18.0" customHeight="1">
      <c r="A177" s="77"/>
      <c r="B177" s="112" t="s">
        <v>555</v>
      </c>
      <c r="C177" s="103">
        <v>55.0</v>
      </c>
      <c r="D177" s="104">
        <v>75.0</v>
      </c>
      <c r="E177" s="103">
        <v>150.0</v>
      </c>
      <c r="F177" s="104">
        <v>59.0</v>
      </c>
      <c r="G177" s="132" t="s">
        <v>461</v>
      </c>
      <c r="H177" s="156" t="s">
        <v>80</v>
      </c>
      <c r="I177" s="157" t="s">
        <v>80</v>
      </c>
      <c r="J177" s="103" t="s">
        <v>35</v>
      </c>
      <c r="K177" s="109">
        <v>1450.0</v>
      </c>
      <c r="L177" s="109">
        <v>182.0</v>
      </c>
      <c r="M177" s="110">
        <f t="shared" si="39"/>
        <v>0.31284</v>
      </c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ht="18.0" customHeight="1">
      <c r="A178" s="77"/>
      <c r="B178" s="112" t="s">
        <v>556</v>
      </c>
      <c r="C178" s="103">
        <v>5.5</v>
      </c>
      <c r="D178" s="104">
        <v>7.5</v>
      </c>
      <c r="E178" s="103">
        <v>140.0</v>
      </c>
      <c r="F178" s="104">
        <v>8.9</v>
      </c>
      <c r="G178" s="132" t="s">
        <v>118</v>
      </c>
      <c r="H178" s="106">
        <v>856.8902999999999</v>
      </c>
      <c r="I178" s="107">
        <v>1710.1160099999997</v>
      </c>
      <c r="J178" s="103" t="s">
        <v>35</v>
      </c>
      <c r="K178" s="109">
        <v>1450.0</v>
      </c>
      <c r="L178" s="109">
        <v>112.0</v>
      </c>
      <c r="M178" s="110">
        <f t="shared" ref="M178:M180" si="40">0.63*0.48*0.67</f>
        <v>0.202608</v>
      </c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ht="18.0" customHeight="1">
      <c r="A179" s="77"/>
      <c r="B179" s="112" t="s">
        <v>557</v>
      </c>
      <c r="C179" s="103">
        <v>7.5</v>
      </c>
      <c r="D179" s="104">
        <v>10.0</v>
      </c>
      <c r="E179" s="103">
        <v>140.0</v>
      </c>
      <c r="F179" s="104">
        <v>11.9</v>
      </c>
      <c r="G179" s="132" t="s">
        <v>118</v>
      </c>
      <c r="H179" s="106">
        <v>860.1650399999999</v>
      </c>
      <c r="I179" s="107">
        <v>1801.73076</v>
      </c>
      <c r="J179" s="103" t="s">
        <v>35</v>
      </c>
      <c r="K179" s="109">
        <v>1450.0</v>
      </c>
      <c r="L179" s="109">
        <v>113.0</v>
      </c>
      <c r="M179" s="110">
        <f t="shared" si="40"/>
        <v>0.202608</v>
      </c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ht="18.0" customHeight="1">
      <c r="A180" s="77"/>
      <c r="B180" s="112" t="s">
        <v>558</v>
      </c>
      <c r="C180" s="103">
        <v>11.0</v>
      </c>
      <c r="D180" s="104">
        <v>15.0</v>
      </c>
      <c r="E180" s="103">
        <v>150.0</v>
      </c>
      <c r="F180" s="104">
        <v>15.6</v>
      </c>
      <c r="G180" s="132" t="s">
        <v>118</v>
      </c>
      <c r="H180" s="106">
        <v>863.9855699999997</v>
      </c>
      <c r="I180" s="107">
        <v>2083.0855049999996</v>
      </c>
      <c r="J180" s="103" t="s">
        <v>35</v>
      </c>
      <c r="K180" s="109">
        <v>1450.0</v>
      </c>
      <c r="L180" s="109">
        <v>114.0</v>
      </c>
      <c r="M180" s="110">
        <f t="shared" si="40"/>
        <v>0.202608</v>
      </c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ht="18.0" customHeight="1">
      <c r="A181" s="77"/>
      <c r="B181" s="112" t="s">
        <v>559</v>
      </c>
      <c r="C181" s="103">
        <v>7.5</v>
      </c>
      <c r="D181" s="104">
        <v>10.0</v>
      </c>
      <c r="E181" s="103">
        <v>110.0</v>
      </c>
      <c r="F181" s="104">
        <v>14.6</v>
      </c>
      <c r="G181" s="132" t="s">
        <v>118</v>
      </c>
      <c r="H181" s="106">
        <v>914.1982499999999</v>
      </c>
      <c r="I181" s="107">
        <v>1969.2493049999998</v>
      </c>
      <c r="J181" s="103" t="s">
        <v>35</v>
      </c>
      <c r="K181" s="109">
        <v>1450.0</v>
      </c>
      <c r="L181" s="109">
        <v>180.0</v>
      </c>
      <c r="M181" s="110">
        <f>0.71*0.64*0.79</f>
        <v>0.358976</v>
      </c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ht="18.0" customHeight="1">
      <c r="A182" s="77"/>
      <c r="B182" s="112" t="s">
        <v>560</v>
      </c>
      <c r="C182" s="103">
        <v>11.0</v>
      </c>
      <c r="D182" s="104">
        <v>15.0</v>
      </c>
      <c r="E182" s="103">
        <v>150.0</v>
      </c>
      <c r="F182" s="104">
        <v>17.8</v>
      </c>
      <c r="G182" s="132" t="s">
        <v>118</v>
      </c>
      <c r="H182" s="106">
        <v>916.9271999999999</v>
      </c>
      <c r="I182" s="107">
        <v>2249.5124699999997</v>
      </c>
      <c r="J182" s="103" t="s">
        <v>35</v>
      </c>
      <c r="K182" s="109">
        <v>1450.0</v>
      </c>
      <c r="L182" s="109">
        <v>181.0</v>
      </c>
      <c r="M182" s="110">
        <v>0.358976</v>
      </c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ht="18.0" customHeight="1">
      <c r="A183" s="77"/>
      <c r="B183" s="112" t="s">
        <v>561</v>
      </c>
      <c r="C183" s="103">
        <v>15.0</v>
      </c>
      <c r="D183" s="104">
        <v>20.0</v>
      </c>
      <c r="E183" s="103">
        <v>200.0</v>
      </c>
      <c r="F183" s="104">
        <v>19.8</v>
      </c>
      <c r="G183" s="132" t="s">
        <v>118</v>
      </c>
      <c r="H183" s="106">
        <v>920.7477299999999</v>
      </c>
      <c r="I183" s="107">
        <v>2426.5823399999995</v>
      </c>
      <c r="J183" s="103" t="s">
        <v>35</v>
      </c>
      <c r="K183" s="109">
        <v>1450.0</v>
      </c>
      <c r="L183" s="109">
        <v>182.0</v>
      </c>
      <c r="M183" s="110">
        <v>0.358976</v>
      </c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ht="18.0" customHeight="1">
      <c r="A184" s="77"/>
      <c r="B184" s="112" t="s">
        <v>562</v>
      </c>
      <c r="C184" s="103">
        <v>18.5</v>
      </c>
      <c r="D184" s="104">
        <v>25.0</v>
      </c>
      <c r="E184" s="103">
        <v>200.0</v>
      </c>
      <c r="F184" s="104">
        <v>23.0</v>
      </c>
      <c r="G184" s="132" t="s">
        <v>118</v>
      </c>
      <c r="H184" s="106">
        <v>924.0224699999997</v>
      </c>
      <c r="I184" s="107">
        <v>2657.3345549999995</v>
      </c>
      <c r="J184" s="103" t="s">
        <v>35</v>
      </c>
      <c r="K184" s="109">
        <v>1450.0</v>
      </c>
      <c r="L184" s="109">
        <v>182.0</v>
      </c>
      <c r="M184" s="110">
        <v>0.358976</v>
      </c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ht="18.0" customHeight="1">
      <c r="A185" s="77"/>
      <c r="B185" s="112" t="s">
        <v>563</v>
      </c>
      <c r="C185" s="103">
        <v>18.5</v>
      </c>
      <c r="D185" s="104">
        <v>25.0</v>
      </c>
      <c r="E185" s="103">
        <v>200.0</v>
      </c>
      <c r="F185" s="104">
        <v>23.3</v>
      </c>
      <c r="G185" s="132" t="s">
        <v>118</v>
      </c>
      <c r="H185" s="106">
        <v>1141.79268</v>
      </c>
      <c r="I185" s="107">
        <v>2932.5296699999994</v>
      </c>
      <c r="J185" s="103" t="s">
        <v>35</v>
      </c>
      <c r="K185" s="109">
        <v>1450.0</v>
      </c>
      <c r="L185" s="109">
        <v>186.0</v>
      </c>
      <c r="M185" s="110">
        <v>0.302</v>
      </c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ht="18.0" customHeight="1">
      <c r="A186" s="77"/>
      <c r="B186" s="112" t="s">
        <v>564</v>
      </c>
      <c r="C186" s="103">
        <v>22.0</v>
      </c>
      <c r="D186" s="104">
        <v>30.0</v>
      </c>
      <c r="E186" s="103">
        <v>200.0</v>
      </c>
      <c r="F186" s="104">
        <v>26.5</v>
      </c>
      <c r="G186" s="132" t="s">
        <v>118</v>
      </c>
      <c r="H186" s="106">
        <v>1144.248735</v>
      </c>
      <c r="I186" s="107">
        <v>3052.8373799999995</v>
      </c>
      <c r="J186" s="103" t="s">
        <v>35</v>
      </c>
      <c r="K186" s="109">
        <v>1450.0</v>
      </c>
      <c r="L186" s="109">
        <v>188.0</v>
      </c>
      <c r="M186" s="110">
        <v>0.302</v>
      </c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ht="18.0" customHeight="1">
      <c r="A187" s="77"/>
      <c r="B187" s="112" t="s">
        <v>565</v>
      </c>
      <c r="C187" s="103">
        <v>30.0</v>
      </c>
      <c r="D187" s="104">
        <v>40.0</v>
      </c>
      <c r="E187" s="103">
        <v>200.0</v>
      </c>
      <c r="F187" s="104">
        <v>32.9</v>
      </c>
      <c r="G187" s="132" t="s">
        <v>118</v>
      </c>
      <c r="H187" s="106">
        <v>1147.5234749999997</v>
      </c>
      <c r="I187" s="107">
        <v>3385.92522</v>
      </c>
      <c r="J187" s="103" t="s">
        <v>35</v>
      </c>
      <c r="K187" s="109">
        <v>1450.0</v>
      </c>
      <c r="L187" s="109">
        <v>190.0</v>
      </c>
      <c r="M187" s="110">
        <v>0.302</v>
      </c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ht="18.0" customHeight="1">
      <c r="A188" s="77"/>
      <c r="B188" s="112" t="s">
        <v>566</v>
      </c>
      <c r="C188" s="103">
        <v>37.0</v>
      </c>
      <c r="D188" s="104">
        <v>50.0</v>
      </c>
      <c r="E188" s="103">
        <v>250.0</v>
      </c>
      <c r="F188" s="104">
        <v>33.1</v>
      </c>
      <c r="G188" s="132" t="s">
        <v>118</v>
      </c>
      <c r="H188" s="106">
        <v>1150.5253199999997</v>
      </c>
      <c r="I188" s="107">
        <v>3891.8725499999996</v>
      </c>
      <c r="J188" s="103" t="s">
        <v>35</v>
      </c>
      <c r="K188" s="109">
        <v>1450.0</v>
      </c>
      <c r="L188" s="109">
        <v>192.0</v>
      </c>
      <c r="M188" s="110">
        <v>0.302</v>
      </c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ht="18.0" customHeight="1">
      <c r="A189" s="77"/>
      <c r="B189" s="112" t="s">
        <v>567</v>
      </c>
      <c r="C189" s="103">
        <v>30.0</v>
      </c>
      <c r="D189" s="104">
        <v>40.0</v>
      </c>
      <c r="E189" s="103">
        <v>200.0</v>
      </c>
      <c r="F189" s="104">
        <v>34.4</v>
      </c>
      <c r="G189" s="132" t="s">
        <v>118</v>
      </c>
      <c r="H189" s="106">
        <v>1583.0638949999998</v>
      </c>
      <c r="I189" s="107">
        <v>3865.4407199999996</v>
      </c>
      <c r="J189" s="103" t="s">
        <v>35</v>
      </c>
      <c r="K189" s="109">
        <v>1450.0</v>
      </c>
      <c r="L189" s="109">
        <v>201.0</v>
      </c>
      <c r="M189" s="110">
        <f t="shared" ref="M189:M194" si="41">0.55*0.72*0.87</f>
        <v>0.34452</v>
      </c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ht="18.0" customHeight="1">
      <c r="A190" s="77"/>
      <c r="B190" s="112" t="s">
        <v>568</v>
      </c>
      <c r="C190" s="103">
        <v>37.0</v>
      </c>
      <c r="D190" s="104">
        <v>50.0</v>
      </c>
      <c r="E190" s="103">
        <v>200.0</v>
      </c>
      <c r="F190" s="104">
        <v>40.7</v>
      </c>
      <c r="G190" s="132" t="s">
        <v>118</v>
      </c>
      <c r="H190" s="106">
        <v>1586.0657399999998</v>
      </c>
      <c r="I190" s="107">
        <v>4371.660945</v>
      </c>
      <c r="J190" s="103" t="s">
        <v>35</v>
      </c>
      <c r="K190" s="109">
        <v>1450.0</v>
      </c>
      <c r="L190" s="109">
        <v>202.0</v>
      </c>
      <c r="M190" s="110">
        <f t="shared" si="41"/>
        <v>0.34452</v>
      </c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ht="18.0" customHeight="1">
      <c r="A191" s="77"/>
      <c r="B191" s="112" t="s">
        <v>569</v>
      </c>
      <c r="C191" s="103">
        <v>45.0</v>
      </c>
      <c r="D191" s="104">
        <v>60.0</v>
      </c>
      <c r="E191" s="103">
        <v>200.0</v>
      </c>
      <c r="F191" s="104">
        <v>47.0</v>
      </c>
      <c r="G191" s="132" t="s">
        <v>118</v>
      </c>
      <c r="H191" s="156" t="s">
        <v>80</v>
      </c>
      <c r="I191" s="157" t="s">
        <v>80</v>
      </c>
      <c r="J191" s="103" t="s">
        <v>35</v>
      </c>
      <c r="K191" s="109">
        <v>1450.0</v>
      </c>
      <c r="L191" s="109">
        <v>203.0</v>
      </c>
      <c r="M191" s="110">
        <f t="shared" si="41"/>
        <v>0.34452</v>
      </c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ht="18.0" customHeight="1">
      <c r="A192" s="77"/>
      <c r="B192" s="112" t="s">
        <v>570</v>
      </c>
      <c r="C192" s="103">
        <v>55.0</v>
      </c>
      <c r="D192" s="104">
        <v>75.0</v>
      </c>
      <c r="E192" s="103">
        <v>250.0</v>
      </c>
      <c r="F192" s="104">
        <v>50.3</v>
      </c>
      <c r="G192" s="132" t="s">
        <v>118</v>
      </c>
      <c r="H192" s="156" t="s">
        <v>80</v>
      </c>
      <c r="I192" s="157" t="s">
        <v>80</v>
      </c>
      <c r="J192" s="103" t="s">
        <v>35</v>
      </c>
      <c r="K192" s="109">
        <v>1450.0</v>
      </c>
      <c r="L192" s="109">
        <v>204.0</v>
      </c>
      <c r="M192" s="110">
        <f t="shared" si="41"/>
        <v>0.34452</v>
      </c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ht="18.0" customHeight="1">
      <c r="A193" s="77"/>
      <c r="B193" s="112" t="s">
        <v>571</v>
      </c>
      <c r="C193" s="103">
        <v>75.0</v>
      </c>
      <c r="D193" s="104">
        <v>100.0</v>
      </c>
      <c r="E193" s="103">
        <v>250.0</v>
      </c>
      <c r="F193" s="104">
        <v>58.3</v>
      </c>
      <c r="G193" s="132" t="s">
        <v>118</v>
      </c>
      <c r="H193" s="156" t="s">
        <v>80</v>
      </c>
      <c r="I193" s="157" t="s">
        <v>80</v>
      </c>
      <c r="J193" s="103" t="s">
        <v>35</v>
      </c>
      <c r="K193" s="109">
        <v>1450.0</v>
      </c>
      <c r="L193" s="109">
        <v>205.0</v>
      </c>
      <c r="M193" s="110">
        <f t="shared" si="41"/>
        <v>0.34452</v>
      </c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ht="18.0" customHeight="1">
      <c r="A194" s="77"/>
      <c r="B194" s="112" t="s">
        <v>572</v>
      </c>
      <c r="C194" s="103">
        <v>90.0</v>
      </c>
      <c r="D194" s="104">
        <v>125.0</v>
      </c>
      <c r="E194" s="103">
        <v>250.0</v>
      </c>
      <c r="F194" s="104">
        <v>63.8</v>
      </c>
      <c r="G194" s="132" t="s">
        <v>118</v>
      </c>
      <c r="H194" s="156" t="s">
        <v>80</v>
      </c>
      <c r="I194" s="157" t="s">
        <v>80</v>
      </c>
      <c r="J194" s="103" t="s">
        <v>35</v>
      </c>
      <c r="K194" s="109">
        <v>1450.0</v>
      </c>
      <c r="L194" s="109">
        <v>206.0</v>
      </c>
      <c r="M194" s="110">
        <f t="shared" si="41"/>
        <v>0.34452</v>
      </c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ht="18.0" customHeight="1">
      <c r="A195" s="77"/>
      <c r="B195" s="112" t="s">
        <v>573</v>
      </c>
      <c r="C195" s="103">
        <v>11.0</v>
      </c>
      <c r="D195" s="104">
        <v>15.0</v>
      </c>
      <c r="E195" s="103">
        <v>250.0</v>
      </c>
      <c r="F195" s="104">
        <v>12.9</v>
      </c>
      <c r="G195" s="132" t="s">
        <v>494</v>
      </c>
      <c r="H195" s="106">
        <v>1116.1405499999998</v>
      </c>
      <c r="I195" s="107">
        <v>2460.8891399999993</v>
      </c>
      <c r="J195" s="103" t="s">
        <v>35</v>
      </c>
      <c r="K195" s="109">
        <v>1450.0</v>
      </c>
      <c r="L195" s="109">
        <v>166.0</v>
      </c>
      <c r="M195" s="110">
        <f t="shared" ref="M195:M198" si="42">0.65*0.62*0.79</f>
        <v>0.31837</v>
      </c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ht="18.0" customHeight="1">
      <c r="A196" s="77"/>
      <c r="B196" s="112" t="s">
        <v>574</v>
      </c>
      <c r="C196" s="103">
        <v>15.0</v>
      </c>
      <c r="D196" s="104">
        <v>20.0</v>
      </c>
      <c r="E196" s="103">
        <v>250.0</v>
      </c>
      <c r="F196" s="104">
        <v>14.3</v>
      </c>
      <c r="G196" s="132" t="s">
        <v>494</v>
      </c>
      <c r="H196" s="106">
        <v>1120.5068699999997</v>
      </c>
      <c r="I196" s="107">
        <v>2638.5047999999997</v>
      </c>
      <c r="J196" s="103" t="s">
        <v>35</v>
      </c>
      <c r="K196" s="109">
        <v>1450.0</v>
      </c>
      <c r="L196" s="109">
        <v>167.0</v>
      </c>
      <c r="M196" s="110">
        <f t="shared" si="42"/>
        <v>0.31837</v>
      </c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ht="18.0" customHeight="1">
      <c r="A197" s="77"/>
      <c r="B197" s="112" t="s">
        <v>575</v>
      </c>
      <c r="C197" s="103">
        <v>18.5</v>
      </c>
      <c r="D197" s="104">
        <v>25.0</v>
      </c>
      <c r="E197" s="103">
        <v>300.0</v>
      </c>
      <c r="F197" s="104">
        <v>15.5</v>
      </c>
      <c r="G197" s="132" t="s">
        <v>494</v>
      </c>
      <c r="H197" s="106">
        <v>1124.6002949999997</v>
      </c>
      <c r="I197" s="107">
        <v>2870.114685</v>
      </c>
      <c r="J197" s="103" t="s">
        <v>35</v>
      </c>
      <c r="K197" s="109">
        <v>1450.0</v>
      </c>
      <c r="L197" s="109">
        <v>168.0</v>
      </c>
      <c r="M197" s="110">
        <f t="shared" si="42"/>
        <v>0.31837</v>
      </c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ht="18.0" customHeight="1">
      <c r="A198" s="77"/>
      <c r="B198" s="112" t="s">
        <v>576</v>
      </c>
      <c r="C198" s="103">
        <v>22.0</v>
      </c>
      <c r="D198" s="104">
        <v>30.0</v>
      </c>
      <c r="E198" s="103">
        <v>300.0</v>
      </c>
      <c r="F198" s="104">
        <v>17.5</v>
      </c>
      <c r="G198" s="132" t="s">
        <v>494</v>
      </c>
      <c r="H198" s="106">
        <v>1128.9666149999998</v>
      </c>
      <c r="I198" s="107">
        <v>3098.9176499999994</v>
      </c>
      <c r="J198" s="103" t="s">
        <v>35</v>
      </c>
      <c r="K198" s="109">
        <v>1450.0</v>
      </c>
      <c r="L198" s="109">
        <v>170.0</v>
      </c>
      <c r="M198" s="110">
        <f t="shared" si="42"/>
        <v>0.31837</v>
      </c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ht="18.0" customHeight="1">
      <c r="A199" s="77"/>
      <c r="B199" s="112" t="s">
        <v>577</v>
      </c>
      <c r="C199" s="103">
        <v>15.0</v>
      </c>
      <c r="D199" s="104">
        <v>20.0</v>
      </c>
      <c r="E199" s="103">
        <v>250.0</v>
      </c>
      <c r="F199" s="104">
        <v>14.7</v>
      </c>
      <c r="G199" s="132" t="s">
        <v>494</v>
      </c>
      <c r="H199" s="106">
        <v>1441.4313899999997</v>
      </c>
      <c r="I199" s="107">
        <v>2999.973719999999</v>
      </c>
      <c r="J199" s="103" t="s">
        <v>35</v>
      </c>
      <c r="K199" s="109">
        <v>1450.0</v>
      </c>
      <c r="L199" s="109">
        <v>180.0</v>
      </c>
      <c r="M199" s="110">
        <f>0.71*0.64*0.79</f>
        <v>0.358976</v>
      </c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ht="18.0" customHeight="1">
      <c r="A200" s="77"/>
      <c r="B200" s="112" t="s">
        <v>578</v>
      </c>
      <c r="C200" s="103">
        <v>18.5</v>
      </c>
      <c r="D200" s="104">
        <v>25.0</v>
      </c>
      <c r="E200" s="103">
        <v>300.0</v>
      </c>
      <c r="F200" s="104">
        <v>17.5</v>
      </c>
      <c r="G200" s="132" t="s">
        <v>494</v>
      </c>
      <c r="H200" s="106">
        <v>1447.1621849999997</v>
      </c>
      <c r="I200" s="107">
        <v>3233.298945</v>
      </c>
      <c r="J200" s="103" t="s">
        <v>35</v>
      </c>
      <c r="K200" s="109">
        <v>1450.0</v>
      </c>
      <c r="L200" s="109">
        <v>181.0</v>
      </c>
      <c r="M200" s="110">
        <v>0.358976</v>
      </c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ht="18.0" customHeight="1">
      <c r="A201" s="77"/>
      <c r="B201" s="112" t="s">
        <v>579</v>
      </c>
      <c r="C201" s="103">
        <v>22.0</v>
      </c>
      <c r="D201" s="104">
        <v>30.0</v>
      </c>
      <c r="E201" s="103">
        <v>300.0</v>
      </c>
      <c r="F201" s="104">
        <v>20.8</v>
      </c>
      <c r="G201" s="132" t="s">
        <v>494</v>
      </c>
      <c r="H201" s="106">
        <v>1452.8929799999996</v>
      </c>
      <c r="I201" s="107">
        <v>3376.919685</v>
      </c>
      <c r="J201" s="103" t="s">
        <v>35</v>
      </c>
      <c r="K201" s="109">
        <v>1450.0</v>
      </c>
      <c r="L201" s="109">
        <v>182.0</v>
      </c>
      <c r="M201" s="110">
        <v>0.358976</v>
      </c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ht="18.0" customHeight="1">
      <c r="A202" s="77"/>
      <c r="B202" s="112" t="s">
        <v>580</v>
      </c>
      <c r="C202" s="103">
        <v>30.0</v>
      </c>
      <c r="D202" s="104">
        <v>40.0</v>
      </c>
      <c r="E202" s="103">
        <v>300.0</v>
      </c>
      <c r="F202" s="104">
        <v>22.0</v>
      </c>
      <c r="G202" s="132" t="s">
        <v>494</v>
      </c>
      <c r="H202" s="106">
        <v>1458.6237749999998</v>
      </c>
      <c r="I202" s="107">
        <v>3681.3145649999997</v>
      </c>
      <c r="J202" s="103" t="s">
        <v>35</v>
      </c>
      <c r="K202" s="109">
        <v>1450.0</v>
      </c>
      <c r="L202" s="109">
        <v>182.0</v>
      </c>
      <c r="M202" s="110">
        <v>0.358976</v>
      </c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ht="18.0" customHeight="1">
      <c r="A203" s="77"/>
      <c r="B203" s="112" t="s">
        <v>581</v>
      </c>
      <c r="C203" s="103">
        <v>30.0</v>
      </c>
      <c r="D203" s="104">
        <v>40.0</v>
      </c>
      <c r="E203" s="103">
        <v>250.0</v>
      </c>
      <c r="F203" s="104">
        <v>27.9</v>
      </c>
      <c r="G203" s="132" t="s">
        <v>494</v>
      </c>
      <c r="H203" s="106">
        <v>1808.2022699999998</v>
      </c>
      <c r="I203" s="107">
        <v>4147.068359999999</v>
      </c>
      <c r="J203" s="103" t="s">
        <v>35</v>
      </c>
      <c r="K203" s="109">
        <v>1450.0</v>
      </c>
      <c r="L203" s="109">
        <v>196.0</v>
      </c>
      <c r="M203" s="110">
        <f>0.73*0.66*0.79</f>
        <v>0.380622</v>
      </c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ht="18.0" customHeight="1">
      <c r="A204" s="77"/>
      <c r="B204" s="112" t="s">
        <v>582</v>
      </c>
      <c r="C204" s="103">
        <v>37.0</v>
      </c>
      <c r="D204" s="104">
        <v>50.0</v>
      </c>
      <c r="E204" s="103">
        <v>300.0</v>
      </c>
      <c r="F204" s="104">
        <v>30.4</v>
      </c>
      <c r="G204" s="132" t="s">
        <v>494</v>
      </c>
      <c r="H204" s="106">
        <v>1813.9330649999995</v>
      </c>
      <c r="I204" s="107">
        <v>4656.1344899999995</v>
      </c>
      <c r="J204" s="103" t="s">
        <v>35</v>
      </c>
      <c r="K204" s="109">
        <v>1450.0</v>
      </c>
      <c r="L204" s="109">
        <v>197.0</v>
      </c>
      <c r="M204" s="110">
        <v>0.380622</v>
      </c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ht="18.0" customHeight="1">
      <c r="A205" s="77"/>
      <c r="B205" s="112" t="s">
        <v>583</v>
      </c>
      <c r="C205" s="103">
        <v>45.0</v>
      </c>
      <c r="D205" s="104">
        <v>60.0</v>
      </c>
      <c r="E205" s="103">
        <v>300.0</v>
      </c>
      <c r="F205" s="104">
        <v>34.7</v>
      </c>
      <c r="G205" s="132" t="s">
        <v>494</v>
      </c>
      <c r="H205" s="156" t="s">
        <v>80</v>
      </c>
      <c r="I205" s="157" t="s">
        <v>80</v>
      </c>
      <c r="J205" s="103" t="s">
        <v>35</v>
      </c>
      <c r="K205" s="109">
        <v>1450.0</v>
      </c>
      <c r="L205" s="109">
        <v>198.0</v>
      </c>
      <c r="M205" s="110">
        <v>0.380622</v>
      </c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ht="18.0" customHeight="1">
      <c r="A206" s="77"/>
      <c r="B206" s="112" t="s">
        <v>584</v>
      </c>
      <c r="C206" s="103">
        <v>55.0</v>
      </c>
      <c r="D206" s="104">
        <v>75.0</v>
      </c>
      <c r="E206" s="103">
        <v>300.0</v>
      </c>
      <c r="F206" s="104">
        <v>37.2</v>
      </c>
      <c r="G206" s="132" t="s">
        <v>494</v>
      </c>
      <c r="H206" s="156" t="s">
        <v>80</v>
      </c>
      <c r="I206" s="157" t="s">
        <v>80</v>
      </c>
      <c r="J206" s="103" t="s">
        <v>35</v>
      </c>
      <c r="K206" s="109">
        <v>1450.0</v>
      </c>
      <c r="L206" s="109">
        <v>198.0</v>
      </c>
      <c r="M206" s="110">
        <v>0.380622</v>
      </c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ht="18.0" customHeight="1">
      <c r="A207" s="77"/>
      <c r="B207" s="112" t="s">
        <v>585</v>
      </c>
      <c r="C207" s="103">
        <v>75.0</v>
      </c>
      <c r="D207" s="104">
        <v>100.0</v>
      </c>
      <c r="E207" s="103">
        <v>400.0</v>
      </c>
      <c r="F207" s="104">
        <v>40.9</v>
      </c>
      <c r="G207" s="132" t="s">
        <v>494</v>
      </c>
      <c r="H207" s="156" t="s">
        <v>80</v>
      </c>
      <c r="I207" s="157" t="s">
        <v>80</v>
      </c>
      <c r="J207" s="103" t="s">
        <v>35</v>
      </c>
      <c r="K207" s="109">
        <v>1450.0</v>
      </c>
      <c r="L207" s="109">
        <v>198.0</v>
      </c>
      <c r="M207" s="110">
        <v>0.380622</v>
      </c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ht="18.0" customHeight="1">
      <c r="A208" s="77"/>
      <c r="B208" s="112" t="s">
        <v>586</v>
      </c>
      <c r="C208" s="103">
        <v>55.0</v>
      </c>
      <c r="D208" s="104">
        <v>75.0</v>
      </c>
      <c r="E208" s="103">
        <v>300.0</v>
      </c>
      <c r="F208" s="104">
        <v>42.0</v>
      </c>
      <c r="G208" s="132" t="s">
        <v>494</v>
      </c>
      <c r="H208" s="156" t="s">
        <v>80</v>
      </c>
      <c r="I208" s="157" t="s">
        <v>80</v>
      </c>
      <c r="J208" s="103" t="s">
        <v>35</v>
      </c>
      <c r="K208" s="109">
        <v>1450.0</v>
      </c>
      <c r="L208" s="109">
        <v>228.0</v>
      </c>
      <c r="M208" s="110">
        <f t="shared" ref="M208:M212" si="43">0.6*0.74*0.92</f>
        <v>0.40848</v>
      </c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ht="18.0" customHeight="1">
      <c r="A209" s="77"/>
      <c r="B209" s="112" t="s">
        <v>587</v>
      </c>
      <c r="C209" s="103">
        <v>75.0</v>
      </c>
      <c r="D209" s="104">
        <v>100.0</v>
      </c>
      <c r="E209" s="103">
        <v>400.0</v>
      </c>
      <c r="F209" s="104">
        <v>47.0</v>
      </c>
      <c r="G209" s="132" t="s">
        <v>494</v>
      </c>
      <c r="H209" s="156" t="s">
        <v>80</v>
      </c>
      <c r="I209" s="157" t="s">
        <v>80</v>
      </c>
      <c r="J209" s="103" t="s">
        <v>35</v>
      </c>
      <c r="K209" s="109">
        <v>1450.0</v>
      </c>
      <c r="L209" s="109">
        <v>229.0</v>
      </c>
      <c r="M209" s="110">
        <f t="shared" si="43"/>
        <v>0.40848</v>
      </c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ht="18.0" customHeight="1">
      <c r="A210" s="77"/>
      <c r="B210" s="112" t="s">
        <v>588</v>
      </c>
      <c r="C210" s="103">
        <v>90.0</v>
      </c>
      <c r="D210" s="104">
        <v>125.0</v>
      </c>
      <c r="E210" s="103">
        <v>400.0</v>
      </c>
      <c r="F210" s="104">
        <v>52.0</v>
      </c>
      <c r="G210" s="132" t="s">
        <v>494</v>
      </c>
      <c r="H210" s="156" t="s">
        <v>80</v>
      </c>
      <c r="I210" s="157" t="s">
        <v>80</v>
      </c>
      <c r="J210" s="103" t="s">
        <v>35</v>
      </c>
      <c r="K210" s="109">
        <v>1450.0</v>
      </c>
      <c r="L210" s="109">
        <v>230.0</v>
      </c>
      <c r="M210" s="110">
        <f t="shared" si="43"/>
        <v>0.40848</v>
      </c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ht="18.0" customHeight="1">
      <c r="A211" s="77"/>
      <c r="B211" s="112" t="s">
        <v>589</v>
      </c>
      <c r="C211" s="103">
        <v>110.0</v>
      </c>
      <c r="D211" s="104">
        <v>150.0</v>
      </c>
      <c r="E211" s="103">
        <v>400.0</v>
      </c>
      <c r="F211" s="104">
        <v>58.0</v>
      </c>
      <c r="G211" s="132" t="s">
        <v>494</v>
      </c>
      <c r="H211" s="156" t="s">
        <v>80</v>
      </c>
      <c r="I211" s="157" t="s">
        <v>80</v>
      </c>
      <c r="J211" s="103" t="s">
        <v>35</v>
      </c>
      <c r="K211" s="109">
        <v>1450.0</v>
      </c>
      <c r="L211" s="109">
        <v>231.0</v>
      </c>
      <c r="M211" s="110">
        <f t="shared" si="43"/>
        <v>0.40848</v>
      </c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ht="18.0" customHeight="1">
      <c r="A212" s="77"/>
      <c r="B212" s="112" t="s">
        <v>590</v>
      </c>
      <c r="C212" s="103">
        <v>132.0</v>
      </c>
      <c r="D212" s="104">
        <v>180.0</v>
      </c>
      <c r="E212" s="103">
        <v>400.0</v>
      </c>
      <c r="F212" s="104">
        <v>64.5</v>
      </c>
      <c r="G212" s="132" t="s">
        <v>494</v>
      </c>
      <c r="H212" s="156" t="s">
        <v>80</v>
      </c>
      <c r="I212" s="157" t="s">
        <v>80</v>
      </c>
      <c r="J212" s="103" t="s">
        <v>35</v>
      </c>
      <c r="K212" s="109">
        <v>1450.0</v>
      </c>
      <c r="L212" s="109">
        <v>233.0</v>
      </c>
      <c r="M212" s="110">
        <f t="shared" si="43"/>
        <v>0.40848</v>
      </c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ht="18.0" customHeight="1">
      <c r="A213" s="77"/>
      <c r="B213" s="112" t="s">
        <v>591</v>
      </c>
      <c r="C213" s="103">
        <v>37.0</v>
      </c>
      <c r="D213" s="104">
        <v>50.0</v>
      </c>
      <c r="E213" s="103">
        <v>500.0</v>
      </c>
      <c r="F213" s="104">
        <v>18.3</v>
      </c>
      <c r="G213" s="132" t="s">
        <v>592</v>
      </c>
      <c r="H213" s="106">
        <v>2335.43541</v>
      </c>
      <c r="I213" s="107">
        <v>5164.8887399999985</v>
      </c>
      <c r="J213" s="103" t="s">
        <v>35</v>
      </c>
      <c r="K213" s="109">
        <v>1450.0</v>
      </c>
      <c r="L213" s="109">
        <v>230.0</v>
      </c>
      <c r="M213" s="163">
        <f t="shared" ref="M213:M215" si="44">0.6*0.76*0.95</f>
        <v>0.4332</v>
      </c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ht="18.0" customHeight="1">
      <c r="A214" s="77"/>
      <c r="B214" s="112" t="s">
        <v>593</v>
      </c>
      <c r="C214" s="103">
        <v>45.0</v>
      </c>
      <c r="D214" s="104">
        <v>60.0</v>
      </c>
      <c r="E214" s="103">
        <v>500.0</v>
      </c>
      <c r="F214" s="104">
        <v>21.3</v>
      </c>
      <c r="G214" s="132" t="s">
        <v>592</v>
      </c>
      <c r="H214" s="156" t="s">
        <v>80</v>
      </c>
      <c r="I214" s="157" t="s">
        <v>80</v>
      </c>
      <c r="J214" s="103" t="s">
        <v>35</v>
      </c>
      <c r="K214" s="109">
        <v>1450.0</v>
      </c>
      <c r="L214" s="109">
        <v>231.0</v>
      </c>
      <c r="M214" s="163">
        <f t="shared" si="44"/>
        <v>0.4332</v>
      </c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ht="18.0" customHeight="1">
      <c r="A215" s="77"/>
      <c r="B215" s="112" t="s">
        <v>594</v>
      </c>
      <c r="C215" s="103">
        <v>55.0</v>
      </c>
      <c r="D215" s="104">
        <v>75.0</v>
      </c>
      <c r="E215" s="103">
        <v>500.0</v>
      </c>
      <c r="F215" s="104">
        <v>26.0</v>
      </c>
      <c r="G215" s="132" t="s">
        <v>592</v>
      </c>
      <c r="H215" s="156" t="s">
        <v>80</v>
      </c>
      <c r="I215" s="157" t="s">
        <v>80</v>
      </c>
      <c r="J215" s="103" t="s">
        <v>35</v>
      </c>
      <c r="K215" s="109">
        <v>1450.0</v>
      </c>
      <c r="L215" s="109">
        <v>232.0</v>
      </c>
      <c r="M215" s="163">
        <f t="shared" si="44"/>
        <v>0.4332</v>
      </c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ht="18.0" customHeight="1">
      <c r="A216" s="77"/>
      <c r="B216" s="112" t="s">
        <v>595</v>
      </c>
      <c r="C216" s="103">
        <v>55.0</v>
      </c>
      <c r="D216" s="104">
        <v>75.0</v>
      </c>
      <c r="E216" s="103">
        <v>500.0</v>
      </c>
      <c r="F216" s="104">
        <v>27.5</v>
      </c>
      <c r="G216" s="132" t="s">
        <v>592</v>
      </c>
      <c r="H216" s="156" t="s">
        <v>80</v>
      </c>
      <c r="I216" s="157" t="s">
        <v>80</v>
      </c>
      <c r="J216" s="103" t="s">
        <v>35</v>
      </c>
      <c r="K216" s="109">
        <v>1450.0</v>
      </c>
      <c r="L216" s="109">
        <v>234.0</v>
      </c>
      <c r="M216" s="110">
        <f t="shared" ref="M216:M218" si="45">0.6*0.86*1.1</f>
        <v>0.5676</v>
      </c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ht="18.0" customHeight="1">
      <c r="A217" s="77"/>
      <c r="B217" s="112" t="s">
        <v>596</v>
      </c>
      <c r="C217" s="103">
        <v>75.0</v>
      </c>
      <c r="D217" s="104">
        <v>100.0</v>
      </c>
      <c r="E217" s="103">
        <v>500.0</v>
      </c>
      <c r="F217" s="104">
        <v>31.5</v>
      </c>
      <c r="G217" s="132" t="s">
        <v>592</v>
      </c>
      <c r="H217" s="156" t="s">
        <v>80</v>
      </c>
      <c r="I217" s="157" t="s">
        <v>80</v>
      </c>
      <c r="J217" s="103" t="s">
        <v>35</v>
      </c>
      <c r="K217" s="109">
        <v>1450.0</v>
      </c>
      <c r="L217" s="109">
        <v>235.0</v>
      </c>
      <c r="M217" s="110">
        <f t="shared" si="45"/>
        <v>0.5676</v>
      </c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ht="18.0" customHeight="1">
      <c r="A218" s="77"/>
      <c r="B218" s="112" t="s">
        <v>597</v>
      </c>
      <c r="C218" s="103">
        <v>90.0</v>
      </c>
      <c r="D218" s="104">
        <v>125.0</v>
      </c>
      <c r="E218" s="103">
        <v>500.0</v>
      </c>
      <c r="F218" s="104">
        <v>38.5</v>
      </c>
      <c r="G218" s="132" t="s">
        <v>592</v>
      </c>
      <c r="H218" s="156" t="s">
        <v>80</v>
      </c>
      <c r="I218" s="157" t="s">
        <v>80</v>
      </c>
      <c r="J218" s="103" t="s">
        <v>35</v>
      </c>
      <c r="K218" s="109">
        <v>1450.0</v>
      </c>
      <c r="L218" s="109">
        <v>236.0</v>
      </c>
      <c r="M218" s="110">
        <f t="shared" si="45"/>
        <v>0.5676</v>
      </c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ht="18.0" customHeight="1">
      <c r="A219" s="77"/>
      <c r="B219" s="112" t="s">
        <v>598</v>
      </c>
      <c r="C219" s="103">
        <v>75.0</v>
      </c>
      <c r="D219" s="104">
        <v>100.0</v>
      </c>
      <c r="E219" s="103">
        <v>500.0</v>
      </c>
      <c r="F219" s="104">
        <v>37.4</v>
      </c>
      <c r="G219" s="132" t="s">
        <v>592</v>
      </c>
      <c r="H219" s="156" t="s">
        <v>80</v>
      </c>
      <c r="I219" s="157" t="s">
        <v>80</v>
      </c>
      <c r="J219" s="103" t="s">
        <v>35</v>
      </c>
      <c r="K219" s="109">
        <v>1450.0</v>
      </c>
      <c r="L219" s="109">
        <v>363.0</v>
      </c>
      <c r="M219" s="110">
        <f t="shared" ref="M219:M222" si="46">0.76*1*1.09</f>
        <v>0.8284</v>
      </c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ht="18.0" customHeight="1">
      <c r="A220" s="77"/>
      <c r="B220" s="112" t="s">
        <v>599</v>
      </c>
      <c r="C220" s="103">
        <v>90.0</v>
      </c>
      <c r="D220" s="104">
        <v>125.0</v>
      </c>
      <c r="E220" s="103">
        <v>500.0</v>
      </c>
      <c r="F220" s="104">
        <v>42.9</v>
      </c>
      <c r="G220" s="132" t="s">
        <v>592</v>
      </c>
      <c r="H220" s="156" t="s">
        <v>80</v>
      </c>
      <c r="I220" s="157" t="s">
        <v>80</v>
      </c>
      <c r="J220" s="103" t="s">
        <v>35</v>
      </c>
      <c r="K220" s="109">
        <v>1450.0</v>
      </c>
      <c r="L220" s="109">
        <v>364.0</v>
      </c>
      <c r="M220" s="110">
        <f t="shared" si="46"/>
        <v>0.8284</v>
      </c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ht="18.0" customHeight="1">
      <c r="A221" s="77"/>
      <c r="B221" s="112" t="s">
        <v>600</v>
      </c>
      <c r="C221" s="103">
        <v>110.0</v>
      </c>
      <c r="D221" s="104">
        <v>150.0</v>
      </c>
      <c r="E221" s="103">
        <v>500.0</v>
      </c>
      <c r="F221" s="104">
        <v>48.8</v>
      </c>
      <c r="G221" s="132" t="s">
        <v>592</v>
      </c>
      <c r="H221" s="156" t="s">
        <v>80</v>
      </c>
      <c r="I221" s="157" t="s">
        <v>80</v>
      </c>
      <c r="J221" s="103" t="s">
        <v>35</v>
      </c>
      <c r="K221" s="109">
        <v>1450.0</v>
      </c>
      <c r="L221" s="109">
        <v>365.0</v>
      </c>
      <c r="M221" s="110">
        <f t="shared" si="46"/>
        <v>0.8284</v>
      </c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ht="18.0" customHeight="1">
      <c r="A222" s="77"/>
      <c r="B222" s="112" t="s">
        <v>601</v>
      </c>
      <c r="C222" s="103">
        <v>132.0</v>
      </c>
      <c r="D222" s="104">
        <v>180.0</v>
      </c>
      <c r="E222" s="103">
        <v>600.0</v>
      </c>
      <c r="F222" s="104">
        <v>54.0</v>
      </c>
      <c r="G222" s="132" t="s">
        <v>592</v>
      </c>
      <c r="H222" s="156" t="s">
        <v>80</v>
      </c>
      <c r="I222" s="157" t="s">
        <v>80</v>
      </c>
      <c r="J222" s="103" t="s">
        <v>35</v>
      </c>
      <c r="K222" s="109">
        <v>1450.0</v>
      </c>
      <c r="L222" s="109">
        <v>366.0</v>
      </c>
      <c r="M222" s="110">
        <f t="shared" si="46"/>
        <v>0.8284</v>
      </c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ht="18.0" customHeight="1">
      <c r="A223" s="77"/>
      <c r="B223" s="112" t="s">
        <v>602</v>
      </c>
      <c r="C223" s="103">
        <v>90.0</v>
      </c>
      <c r="D223" s="104">
        <v>125.0</v>
      </c>
      <c r="E223" s="103">
        <v>900.0</v>
      </c>
      <c r="F223" s="104">
        <v>26.4</v>
      </c>
      <c r="G223" s="132" t="s">
        <v>603</v>
      </c>
      <c r="H223" s="156" t="s">
        <v>80</v>
      </c>
      <c r="I223" s="157" t="s">
        <v>80</v>
      </c>
      <c r="J223" s="103" t="s">
        <v>35</v>
      </c>
      <c r="K223" s="109">
        <v>1450.0</v>
      </c>
      <c r="L223" s="109">
        <v>318.0</v>
      </c>
      <c r="M223" s="110">
        <f t="shared" ref="M223:M226" si="47">0.76*0.85*1.09</f>
        <v>0.70414</v>
      </c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ht="18.0" customHeight="1">
      <c r="A224" s="77"/>
      <c r="B224" s="112" t="s">
        <v>604</v>
      </c>
      <c r="C224" s="103">
        <v>110.0</v>
      </c>
      <c r="D224" s="104">
        <v>150.0</v>
      </c>
      <c r="E224" s="103">
        <v>900.0</v>
      </c>
      <c r="F224" s="104">
        <v>30.4</v>
      </c>
      <c r="G224" s="132" t="s">
        <v>603</v>
      </c>
      <c r="H224" s="156" t="s">
        <v>80</v>
      </c>
      <c r="I224" s="157" t="s">
        <v>80</v>
      </c>
      <c r="J224" s="103" t="s">
        <v>35</v>
      </c>
      <c r="K224" s="109">
        <v>1450.0</v>
      </c>
      <c r="L224" s="109">
        <v>320.0</v>
      </c>
      <c r="M224" s="110">
        <f t="shared" si="47"/>
        <v>0.70414</v>
      </c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ht="18.0" customHeight="1">
      <c r="A225" s="77"/>
      <c r="B225" s="112" t="s">
        <v>605</v>
      </c>
      <c r="C225" s="103">
        <v>132.0</v>
      </c>
      <c r="D225" s="104">
        <v>180.0</v>
      </c>
      <c r="E225" s="103">
        <v>1000.0</v>
      </c>
      <c r="F225" s="104">
        <v>33.8</v>
      </c>
      <c r="G225" s="132" t="s">
        <v>603</v>
      </c>
      <c r="H225" s="156" t="s">
        <v>80</v>
      </c>
      <c r="I225" s="157" t="s">
        <v>80</v>
      </c>
      <c r="J225" s="103" t="s">
        <v>35</v>
      </c>
      <c r="K225" s="109">
        <v>1450.0</v>
      </c>
      <c r="L225" s="109">
        <v>322.0</v>
      </c>
      <c r="M225" s="110">
        <f t="shared" si="47"/>
        <v>0.70414</v>
      </c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ht="18.0" customHeight="1">
      <c r="A226" s="77"/>
      <c r="B226" s="112" t="s">
        <v>606</v>
      </c>
      <c r="C226" s="103">
        <v>160.0</v>
      </c>
      <c r="D226" s="104">
        <v>220.0</v>
      </c>
      <c r="E226" s="103">
        <v>1000.0</v>
      </c>
      <c r="F226" s="104">
        <v>40.3</v>
      </c>
      <c r="G226" s="132" t="s">
        <v>603</v>
      </c>
      <c r="H226" s="156" t="s">
        <v>80</v>
      </c>
      <c r="I226" s="157" t="s">
        <v>80</v>
      </c>
      <c r="J226" s="103" t="s">
        <v>35</v>
      </c>
      <c r="K226" s="109">
        <v>1450.0</v>
      </c>
      <c r="L226" s="109">
        <v>324.0</v>
      </c>
      <c r="M226" s="110">
        <f t="shared" si="47"/>
        <v>0.70414</v>
      </c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ht="18.0" customHeight="1">
      <c r="A227" s="77"/>
      <c r="B227" s="112" t="s">
        <v>607</v>
      </c>
      <c r="C227" s="103">
        <v>160.0</v>
      </c>
      <c r="D227" s="104">
        <v>220.0</v>
      </c>
      <c r="E227" s="103">
        <v>1000.0</v>
      </c>
      <c r="F227" s="104">
        <v>37.0</v>
      </c>
      <c r="G227" s="132" t="s">
        <v>603</v>
      </c>
      <c r="H227" s="156" t="s">
        <v>80</v>
      </c>
      <c r="I227" s="157" t="s">
        <v>80</v>
      </c>
      <c r="J227" s="103" t="s">
        <v>35</v>
      </c>
      <c r="K227" s="109">
        <v>1450.0</v>
      </c>
      <c r="L227" s="109">
        <v>402.0</v>
      </c>
      <c r="M227" s="110">
        <f t="shared" ref="M227:M231" si="48">0.76*1.07*1.15</f>
        <v>0.93518</v>
      </c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ht="18.0" customHeight="1">
      <c r="A228" s="77"/>
      <c r="B228" s="112" t="s">
        <v>608</v>
      </c>
      <c r="C228" s="103">
        <v>185.0</v>
      </c>
      <c r="D228" s="104">
        <v>250.0</v>
      </c>
      <c r="E228" s="103">
        <v>1000.0</v>
      </c>
      <c r="F228" s="104">
        <v>41.0</v>
      </c>
      <c r="G228" s="132" t="s">
        <v>603</v>
      </c>
      <c r="H228" s="156" t="s">
        <v>80</v>
      </c>
      <c r="I228" s="157" t="s">
        <v>80</v>
      </c>
      <c r="J228" s="103" t="s">
        <v>35</v>
      </c>
      <c r="K228" s="109">
        <v>1450.0</v>
      </c>
      <c r="L228" s="109">
        <v>404.0</v>
      </c>
      <c r="M228" s="110">
        <f t="shared" si="48"/>
        <v>0.93518</v>
      </c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ht="18.0" customHeight="1">
      <c r="A229" s="77"/>
      <c r="B229" s="112" t="s">
        <v>609</v>
      </c>
      <c r="C229" s="103">
        <v>200.0</v>
      </c>
      <c r="D229" s="104">
        <v>270.0</v>
      </c>
      <c r="E229" s="103">
        <v>1100.0</v>
      </c>
      <c r="F229" s="104">
        <v>46.0</v>
      </c>
      <c r="G229" s="132" t="s">
        <v>603</v>
      </c>
      <c r="H229" s="156" t="s">
        <v>80</v>
      </c>
      <c r="I229" s="157" t="s">
        <v>80</v>
      </c>
      <c r="J229" s="103" t="s">
        <v>35</v>
      </c>
      <c r="K229" s="109">
        <v>1450.0</v>
      </c>
      <c r="L229" s="109">
        <v>406.0</v>
      </c>
      <c r="M229" s="110">
        <f t="shared" si="48"/>
        <v>0.93518</v>
      </c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ht="18.0" customHeight="1">
      <c r="A230" s="77"/>
      <c r="B230" s="112" t="s">
        <v>610</v>
      </c>
      <c r="C230" s="103">
        <v>220.0</v>
      </c>
      <c r="D230" s="104">
        <v>300.0</v>
      </c>
      <c r="E230" s="103">
        <v>1100.0</v>
      </c>
      <c r="F230" s="104">
        <v>51.0</v>
      </c>
      <c r="G230" s="132" t="s">
        <v>603</v>
      </c>
      <c r="H230" s="156" t="s">
        <v>80</v>
      </c>
      <c r="I230" s="157" t="s">
        <v>80</v>
      </c>
      <c r="J230" s="103" t="s">
        <v>35</v>
      </c>
      <c r="K230" s="109">
        <v>1450.0</v>
      </c>
      <c r="L230" s="109">
        <v>408.0</v>
      </c>
      <c r="M230" s="110">
        <f t="shared" si="48"/>
        <v>0.93518</v>
      </c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ht="18.0" customHeight="1">
      <c r="A231" s="77"/>
      <c r="B231" s="112" t="s">
        <v>611</v>
      </c>
      <c r="C231" s="103">
        <v>250.0</v>
      </c>
      <c r="D231" s="104">
        <v>340.0</v>
      </c>
      <c r="E231" s="103">
        <v>1100.0</v>
      </c>
      <c r="F231" s="104">
        <v>59.0</v>
      </c>
      <c r="G231" s="132" t="s">
        <v>603</v>
      </c>
      <c r="H231" s="156" t="s">
        <v>80</v>
      </c>
      <c r="I231" s="157" t="s">
        <v>80</v>
      </c>
      <c r="J231" s="103" t="s">
        <v>35</v>
      </c>
      <c r="K231" s="109">
        <v>1450.0</v>
      </c>
      <c r="L231" s="109">
        <v>410.0</v>
      </c>
      <c r="M231" s="110">
        <f t="shared" si="48"/>
        <v>0.93518</v>
      </c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ht="7.5" customHeight="1">
      <c r="A232" s="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73" t="s">
        <v>124</v>
      </c>
      <c r="C233" s="74" t="s">
        <v>125</v>
      </c>
      <c r="D233" s="75"/>
      <c r="E233" s="76"/>
      <c r="F233" s="76"/>
      <c r="G233" s="76"/>
      <c r="H233" s="76"/>
      <c r="I233" s="76"/>
      <c r="J233" s="76"/>
      <c r="K233" s="76"/>
      <c r="L233" s="76"/>
      <c r="M233" s="7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78" t="s">
        <v>126</v>
      </c>
      <c r="C234" s="79" t="s">
        <v>127</v>
      </c>
      <c r="D234" s="80"/>
      <c r="E234" s="81"/>
      <c r="F234" s="81"/>
      <c r="G234" s="81"/>
      <c r="H234" s="81"/>
      <c r="I234" s="81"/>
      <c r="J234" s="81"/>
      <c r="K234" s="81"/>
      <c r="L234" s="81"/>
      <c r="M234" s="8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78" t="s">
        <v>128</v>
      </c>
      <c r="C235" s="79" t="s">
        <v>129</v>
      </c>
      <c r="D235" s="80"/>
      <c r="E235" s="81"/>
      <c r="F235" s="81"/>
      <c r="G235" s="81"/>
      <c r="H235" s="81"/>
      <c r="I235" s="81"/>
      <c r="J235" s="81"/>
      <c r="K235" s="81"/>
      <c r="L235" s="81"/>
      <c r="M235" s="8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82" t="s">
        <v>132</v>
      </c>
      <c r="C236" s="85" t="s">
        <v>612</v>
      </c>
      <c r="D236" s="83"/>
      <c r="E236" s="84"/>
      <c r="F236" s="84"/>
      <c r="G236" s="84"/>
      <c r="H236" s="84"/>
      <c r="I236" s="84"/>
      <c r="J236" s="84"/>
      <c r="K236" s="84"/>
      <c r="L236" s="84"/>
      <c r="M236" s="8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82" t="s">
        <v>613</v>
      </c>
      <c r="C237" s="85" t="s">
        <v>614</v>
      </c>
      <c r="D237" s="83"/>
      <c r="E237" s="84"/>
      <c r="F237" s="84"/>
      <c r="G237" s="84"/>
      <c r="H237" s="84"/>
      <c r="I237" s="84"/>
      <c r="J237" s="84"/>
      <c r="K237" s="84"/>
      <c r="L237" s="84"/>
      <c r="M237" s="8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82"/>
      <c r="C238" s="85"/>
      <c r="D238" s="83"/>
      <c r="E238" s="84"/>
      <c r="F238" s="84"/>
      <c r="G238" s="84"/>
      <c r="H238" s="84"/>
      <c r="I238" s="84"/>
      <c r="J238" s="84"/>
      <c r="K238" s="84"/>
      <c r="L238" s="84"/>
      <c r="M238" s="8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6:K6"/>
    <mergeCell ref="B8:B10"/>
    <mergeCell ref="C8:D9"/>
    <mergeCell ref="E8:F8"/>
    <mergeCell ref="H8:I8"/>
    <mergeCell ref="J8:J10"/>
    <mergeCell ref="K8:K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7" width="9.44"/>
    <col customWidth="1" min="8" max="9" width="18.78"/>
    <col customWidth="1" min="10" max="11" width="9.44"/>
    <col customWidth="1" min="12" max="13" width="7.44"/>
    <col customWidth="1" min="14" max="14" width="16.67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7"/>
      <c r="L4" s="7"/>
      <c r="M4" s="8" t="s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11"/>
      <c r="K5" s="12"/>
      <c r="L5" s="12"/>
      <c r="M5" s="1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33"/>
      <c r="B6" s="114" t="s">
        <v>615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164" t="s">
        <v>7</v>
      </c>
      <c r="I8" s="164" t="s">
        <v>7</v>
      </c>
      <c r="J8" s="29" t="s">
        <v>8</v>
      </c>
      <c r="K8" s="30" t="s">
        <v>9</v>
      </c>
      <c r="L8" s="31" t="s">
        <v>10</v>
      </c>
      <c r="M8" s="32" t="s">
        <v>11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77"/>
      <c r="B9" s="34"/>
      <c r="C9" s="35"/>
      <c r="D9" s="36"/>
      <c r="E9" s="37" t="s">
        <v>13</v>
      </c>
      <c r="F9" s="38" t="s">
        <v>14</v>
      </c>
      <c r="G9" s="39"/>
      <c r="H9" s="165"/>
      <c r="I9" s="165"/>
      <c r="J9" s="42"/>
      <c r="K9" s="43"/>
      <c r="L9" s="44"/>
      <c r="M9" s="4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33" t="s">
        <v>616</v>
      </c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66" t="s">
        <v>617</v>
      </c>
      <c r="I10" s="167" t="s">
        <v>618</v>
      </c>
      <c r="J10" s="51"/>
      <c r="K10" s="52" t="s">
        <v>22</v>
      </c>
      <c r="L10" s="53" t="s">
        <v>23</v>
      </c>
      <c r="M10" s="54" t="s">
        <v>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12" t="s">
        <v>619</v>
      </c>
      <c r="C11" s="103">
        <v>0.37</v>
      </c>
      <c r="D11" s="104">
        <v>0.5</v>
      </c>
      <c r="E11" s="103">
        <v>1.0</v>
      </c>
      <c r="F11" s="104">
        <v>11.5</v>
      </c>
      <c r="G11" s="132" t="s">
        <v>620</v>
      </c>
      <c r="H11" s="107">
        <v>258.21643017599996</v>
      </c>
      <c r="I11" s="133">
        <v>319.170195</v>
      </c>
      <c r="J11" s="103" t="s">
        <v>27</v>
      </c>
      <c r="K11" s="109">
        <v>2900.0</v>
      </c>
      <c r="L11" s="109">
        <v>20.0</v>
      </c>
      <c r="M11" s="110">
        <f>0.27*0.27*0.5</f>
        <v>0.03645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91"/>
      <c r="B12" s="112" t="s">
        <v>621</v>
      </c>
      <c r="C12" s="103">
        <v>0.37</v>
      </c>
      <c r="D12" s="104">
        <v>0.5</v>
      </c>
      <c r="E12" s="103">
        <v>1.0</v>
      </c>
      <c r="F12" s="104">
        <v>17.0</v>
      </c>
      <c r="G12" s="132" t="s">
        <v>620</v>
      </c>
      <c r="H12" s="107">
        <v>317.78084824800004</v>
      </c>
      <c r="I12" s="133">
        <v>378.4663799999999</v>
      </c>
      <c r="J12" s="103" t="s">
        <v>27</v>
      </c>
      <c r="K12" s="109">
        <v>2900.0</v>
      </c>
      <c r="L12" s="109">
        <v>20.0</v>
      </c>
      <c r="M12" s="110">
        <f>0.27*0.27*0.52</f>
        <v>0.037908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91"/>
      <c r="B13" s="112" t="s">
        <v>622</v>
      </c>
      <c r="C13" s="103">
        <v>0.37</v>
      </c>
      <c r="D13" s="104">
        <v>0.5</v>
      </c>
      <c r="E13" s="103">
        <v>1.0</v>
      </c>
      <c r="F13" s="104">
        <v>22.5</v>
      </c>
      <c r="G13" s="132" t="s">
        <v>620</v>
      </c>
      <c r="H13" s="107">
        <v>337.427750544</v>
      </c>
      <c r="I13" s="133">
        <v>398.699595</v>
      </c>
      <c r="J13" s="103" t="s">
        <v>27</v>
      </c>
      <c r="K13" s="109">
        <v>2900.0</v>
      </c>
      <c r="L13" s="109">
        <v>21.0</v>
      </c>
      <c r="M13" s="110">
        <f>0.27*0.27*0.54</f>
        <v>0.039366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8.0" customHeight="1">
      <c r="A14" s="91"/>
      <c r="B14" s="112" t="s">
        <v>623</v>
      </c>
      <c r="C14" s="103">
        <v>0.37</v>
      </c>
      <c r="D14" s="104">
        <v>0.5</v>
      </c>
      <c r="E14" s="103">
        <v>1.0</v>
      </c>
      <c r="F14" s="104">
        <v>28.0</v>
      </c>
      <c r="G14" s="132" t="s">
        <v>620</v>
      </c>
      <c r="H14" s="107">
        <v>373.44707142</v>
      </c>
      <c r="I14" s="133">
        <v>434.44883999999996</v>
      </c>
      <c r="J14" s="103" t="s">
        <v>27</v>
      </c>
      <c r="K14" s="109">
        <v>2900.0</v>
      </c>
      <c r="L14" s="109">
        <v>21.0</v>
      </c>
      <c r="M14" s="110">
        <f>0.27*0.27*0.56</f>
        <v>0.040824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91"/>
      <c r="B15" s="112" t="s">
        <v>624</v>
      </c>
      <c r="C15" s="103">
        <v>0.37</v>
      </c>
      <c r="D15" s="104">
        <v>0.5</v>
      </c>
      <c r="E15" s="103">
        <v>1.0</v>
      </c>
      <c r="F15" s="104">
        <v>33.5</v>
      </c>
      <c r="G15" s="132" t="s">
        <v>620</v>
      </c>
      <c r="H15" s="107">
        <v>416.95092650399994</v>
      </c>
      <c r="I15" s="133">
        <v>478.22899499999994</v>
      </c>
      <c r="J15" s="103" t="s">
        <v>27</v>
      </c>
      <c r="K15" s="109">
        <v>2900.0</v>
      </c>
      <c r="L15" s="109">
        <v>22.0</v>
      </c>
      <c r="M15" s="110">
        <f>0.27*0.27*0.58</f>
        <v>0.042282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8.0" customHeight="1">
      <c r="A16" s="91"/>
      <c r="B16" s="112" t="s">
        <v>625</v>
      </c>
      <c r="C16" s="103">
        <v>0.37</v>
      </c>
      <c r="D16" s="104">
        <v>0.5</v>
      </c>
      <c r="E16" s="103">
        <v>1.0</v>
      </c>
      <c r="F16" s="104">
        <v>39.0</v>
      </c>
      <c r="G16" s="132" t="s">
        <v>620</v>
      </c>
      <c r="H16" s="107">
        <v>445.758586815</v>
      </c>
      <c r="I16" s="133">
        <v>506.4931199999999</v>
      </c>
      <c r="J16" s="103" t="s">
        <v>27</v>
      </c>
      <c r="K16" s="109">
        <v>2900.0</v>
      </c>
      <c r="L16" s="109">
        <v>23.0</v>
      </c>
      <c r="M16" s="110">
        <f>0.27*0.27*0.59</f>
        <v>0.043011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77"/>
      <c r="B17" s="112" t="s">
        <v>626</v>
      </c>
      <c r="C17" s="103">
        <v>0.55</v>
      </c>
      <c r="D17" s="104">
        <v>0.75</v>
      </c>
      <c r="E17" s="103">
        <v>1.0</v>
      </c>
      <c r="F17" s="104">
        <v>45.0</v>
      </c>
      <c r="G17" s="132" t="s">
        <v>620</v>
      </c>
      <c r="H17" s="107">
        <v>477.606839148</v>
      </c>
      <c r="I17" s="133">
        <v>538.3438649999999</v>
      </c>
      <c r="J17" s="103" t="s">
        <v>27</v>
      </c>
      <c r="K17" s="109">
        <v>2900.0</v>
      </c>
      <c r="L17" s="109">
        <v>24.0</v>
      </c>
      <c r="M17" s="110">
        <f>0.27*0.27*0.61</f>
        <v>0.044469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77"/>
      <c r="B18" s="112" t="s">
        <v>627</v>
      </c>
      <c r="C18" s="103">
        <v>0.55</v>
      </c>
      <c r="D18" s="104">
        <v>0.75</v>
      </c>
      <c r="E18" s="103">
        <v>1.0</v>
      </c>
      <c r="F18" s="104">
        <v>51.0</v>
      </c>
      <c r="G18" s="132" t="s">
        <v>620</v>
      </c>
      <c r="H18" s="107">
        <v>492.848781207</v>
      </c>
      <c r="I18" s="133">
        <v>554.1327899999999</v>
      </c>
      <c r="J18" s="103" t="s">
        <v>27</v>
      </c>
      <c r="K18" s="109">
        <v>2900.0</v>
      </c>
      <c r="L18" s="109">
        <v>25.0</v>
      </c>
      <c r="M18" s="110">
        <f>0.27*0.27*0.63</f>
        <v>0.045927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77"/>
      <c r="B19" s="112" t="s">
        <v>628</v>
      </c>
      <c r="C19" s="103">
        <v>0.55</v>
      </c>
      <c r="D19" s="104">
        <v>0.75</v>
      </c>
      <c r="E19" s="103">
        <v>1.0</v>
      </c>
      <c r="F19" s="104">
        <v>57.0</v>
      </c>
      <c r="G19" s="132" t="s">
        <v>620</v>
      </c>
      <c r="H19" s="107">
        <v>516.7057339950001</v>
      </c>
      <c r="I19" s="133">
        <v>578.2255199999998</v>
      </c>
      <c r="J19" s="103" t="s">
        <v>27</v>
      </c>
      <c r="K19" s="109">
        <v>2900.0</v>
      </c>
      <c r="L19" s="109">
        <v>26.0</v>
      </c>
      <c r="M19" s="110">
        <f>0.27*0.27*0.65</f>
        <v>0.047385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91"/>
      <c r="B20" s="112" t="s">
        <v>629</v>
      </c>
      <c r="C20" s="103">
        <v>0.55</v>
      </c>
      <c r="D20" s="104">
        <v>0.75</v>
      </c>
      <c r="E20" s="103">
        <v>1.0</v>
      </c>
      <c r="F20" s="104">
        <v>61.0</v>
      </c>
      <c r="G20" s="132" t="s">
        <v>620</v>
      </c>
      <c r="H20" s="107">
        <v>552.9979285139999</v>
      </c>
      <c r="I20" s="133">
        <v>613.4289749999999</v>
      </c>
      <c r="J20" s="103" t="s">
        <v>27</v>
      </c>
      <c r="K20" s="109">
        <v>2900.0</v>
      </c>
      <c r="L20" s="109">
        <v>26.0</v>
      </c>
      <c r="M20" s="110">
        <f>0.27*0.27*0.67</f>
        <v>0.048843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67"/>
      <c r="B21" s="112" t="s">
        <v>630</v>
      </c>
      <c r="C21" s="103">
        <v>0.75</v>
      </c>
      <c r="D21" s="104">
        <v>1.0</v>
      </c>
      <c r="E21" s="103">
        <v>1.0</v>
      </c>
      <c r="F21" s="104">
        <v>67.0</v>
      </c>
      <c r="G21" s="132" t="s">
        <v>620</v>
      </c>
      <c r="H21" s="107">
        <v>576.5430257099999</v>
      </c>
      <c r="I21" s="133">
        <v>637.5217049999999</v>
      </c>
      <c r="J21" s="103" t="s">
        <v>27</v>
      </c>
      <c r="K21" s="109">
        <v>2900.0</v>
      </c>
      <c r="L21" s="109">
        <v>29.0</v>
      </c>
      <c r="M21" s="110">
        <f>0.29*0.27*0.71</f>
        <v>0.055593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68"/>
      <c r="B22" s="112" t="s">
        <v>631</v>
      </c>
      <c r="C22" s="103">
        <v>0.75</v>
      </c>
      <c r="D22" s="104">
        <v>1.0</v>
      </c>
      <c r="E22" s="103">
        <v>1.0</v>
      </c>
      <c r="F22" s="104">
        <v>73.0</v>
      </c>
      <c r="G22" s="132" t="s">
        <v>620</v>
      </c>
      <c r="H22" s="107">
        <v>588.1596465120001</v>
      </c>
      <c r="I22" s="133">
        <v>650.2697999999998</v>
      </c>
      <c r="J22" s="103" t="s">
        <v>27</v>
      </c>
      <c r="K22" s="109">
        <v>2900.0</v>
      </c>
      <c r="L22" s="109">
        <v>30.0</v>
      </c>
      <c r="M22" s="110">
        <f>0.29*0.27*0.73</f>
        <v>0.057159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77"/>
      <c r="B23" s="112" t="s">
        <v>632</v>
      </c>
      <c r="C23" s="103">
        <v>0.75</v>
      </c>
      <c r="D23" s="104">
        <v>1.0</v>
      </c>
      <c r="E23" s="103">
        <v>1.0</v>
      </c>
      <c r="F23" s="104">
        <v>84.0</v>
      </c>
      <c r="G23" s="132" t="s">
        <v>620</v>
      </c>
      <c r="H23" s="107">
        <v>620.3197544369999</v>
      </c>
      <c r="I23" s="133">
        <v>681.0289649999999</v>
      </c>
      <c r="J23" s="103" t="s">
        <v>27</v>
      </c>
      <c r="K23" s="109">
        <v>2900.0</v>
      </c>
      <c r="L23" s="109">
        <v>31.0</v>
      </c>
      <c r="M23" s="110">
        <f>0.29*0.27*0.77</f>
        <v>0.060291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91"/>
      <c r="B24" s="112" t="s">
        <v>633</v>
      </c>
      <c r="C24" s="103">
        <v>1.1</v>
      </c>
      <c r="D24" s="104">
        <v>1.5</v>
      </c>
      <c r="E24" s="103">
        <v>1.0</v>
      </c>
      <c r="F24" s="104">
        <v>95.0</v>
      </c>
      <c r="G24" s="132" t="s">
        <v>620</v>
      </c>
      <c r="H24" s="107">
        <v>631.9363752389999</v>
      </c>
      <c r="I24" s="133">
        <v>692.9583749999999</v>
      </c>
      <c r="J24" s="103" t="s">
        <v>27</v>
      </c>
      <c r="K24" s="109">
        <v>2900.0</v>
      </c>
      <c r="L24" s="109">
        <v>33.0</v>
      </c>
      <c r="M24" s="110">
        <f>0.29*0.27*0.8</f>
        <v>0.06264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91"/>
      <c r="B25" s="112" t="s">
        <v>634</v>
      </c>
      <c r="C25" s="103">
        <v>1.1</v>
      </c>
      <c r="D25" s="104">
        <v>1.5</v>
      </c>
      <c r="E25" s="103">
        <v>1.0</v>
      </c>
      <c r="F25" s="104">
        <v>106.0</v>
      </c>
      <c r="G25" s="132" t="s">
        <v>620</v>
      </c>
      <c r="H25" s="107">
        <v>684.2891327460001</v>
      </c>
      <c r="I25" s="133">
        <v>745.0423349999999</v>
      </c>
      <c r="J25" s="103" t="s">
        <v>27</v>
      </c>
      <c r="K25" s="109">
        <v>2900.0</v>
      </c>
      <c r="L25" s="109">
        <v>34.0</v>
      </c>
      <c r="M25" s="110">
        <f>0.29*0.27*0.84</f>
        <v>0.065772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91"/>
      <c r="B26" s="112" t="s">
        <v>635</v>
      </c>
      <c r="C26" s="103">
        <v>1.1</v>
      </c>
      <c r="D26" s="104">
        <v>1.5</v>
      </c>
      <c r="E26" s="103">
        <v>1.0</v>
      </c>
      <c r="F26" s="104">
        <v>117.0</v>
      </c>
      <c r="G26" s="132" t="s">
        <v>620</v>
      </c>
      <c r="H26" s="107">
        <v>715.864511436</v>
      </c>
      <c r="I26" s="133">
        <v>777.1659749999999</v>
      </c>
      <c r="J26" s="103" t="s">
        <v>27</v>
      </c>
      <c r="K26" s="109">
        <v>2900.0</v>
      </c>
      <c r="L26" s="109">
        <v>35.0</v>
      </c>
      <c r="M26" s="110">
        <f>0.29*0.27*0.88</f>
        <v>0.068904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91"/>
      <c r="B27" s="112" t="s">
        <v>636</v>
      </c>
      <c r="C27" s="103">
        <v>1.1</v>
      </c>
      <c r="D27" s="104">
        <v>1.5</v>
      </c>
      <c r="E27" s="103">
        <v>1.0</v>
      </c>
      <c r="F27" s="104">
        <v>128.0</v>
      </c>
      <c r="G27" s="132" t="s">
        <v>620</v>
      </c>
      <c r="H27" s="107">
        <v>808.953405648</v>
      </c>
      <c r="I27" s="133">
        <v>871.0808399999999</v>
      </c>
      <c r="J27" s="103" t="s">
        <v>27</v>
      </c>
      <c r="K27" s="109">
        <v>2900.0</v>
      </c>
      <c r="L27" s="109">
        <v>36.0</v>
      </c>
      <c r="M27" s="110">
        <f>0.29*0.27*0.91</f>
        <v>0.071253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91"/>
      <c r="B28" s="112" t="s">
        <v>637</v>
      </c>
      <c r="C28" s="103">
        <v>1.5</v>
      </c>
      <c r="D28" s="104">
        <v>2.0</v>
      </c>
      <c r="E28" s="103">
        <v>1.0</v>
      </c>
      <c r="F28" s="104">
        <v>139.0</v>
      </c>
      <c r="G28" s="132" t="s">
        <v>620</v>
      </c>
      <c r="H28" s="107">
        <v>825.052950585</v>
      </c>
      <c r="I28" s="133">
        <v>898.5262799999998</v>
      </c>
      <c r="J28" s="103" t="s">
        <v>27</v>
      </c>
      <c r="K28" s="109">
        <v>2900.0</v>
      </c>
      <c r="L28" s="109">
        <v>42.0</v>
      </c>
      <c r="M28" s="110">
        <f>0.3*0.27*1</f>
        <v>0.081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91"/>
      <c r="B29" s="112" t="s">
        <v>638</v>
      </c>
      <c r="C29" s="103">
        <v>1.5</v>
      </c>
      <c r="D29" s="104">
        <v>2.0</v>
      </c>
      <c r="E29" s="103">
        <v>1.0</v>
      </c>
      <c r="F29" s="104">
        <v>150.0</v>
      </c>
      <c r="G29" s="132" t="s">
        <v>620</v>
      </c>
      <c r="H29" s="107">
        <v>850.508163282</v>
      </c>
      <c r="I29" s="133">
        <v>912.0930599999998</v>
      </c>
      <c r="J29" s="103" t="s">
        <v>27</v>
      </c>
      <c r="K29" s="109">
        <v>2900.0</v>
      </c>
      <c r="L29" s="109">
        <v>43.0</v>
      </c>
      <c r="M29" s="110">
        <f>0.3*0.27*1.04</f>
        <v>0.08424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91"/>
      <c r="B30" s="112" t="s">
        <v>639</v>
      </c>
      <c r="C30" s="103">
        <v>1.5</v>
      </c>
      <c r="D30" s="104">
        <v>2.0</v>
      </c>
      <c r="E30" s="103">
        <v>1.0</v>
      </c>
      <c r="F30" s="104">
        <v>166.0</v>
      </c>
      <c r="G30" s="132" t="s">
        <v>620</v>
      </c>
      <c r="H30" s="107">
        <v>871.0126684559999</v>
      </c>
      <c r="I30" s="133">
        <v>930.6499199999997</v>
      </c>
      <c r="J30" s="103" t="s">
        <v>27</v>
      </c>
      <c r="K30" s="109">
        <v>2900.0</v>
      </c>
      <c r="L30" s="109">
        <v>45.0</v>
      </c>
      <c r="M30" s="110">
        <f>0.3*0.27*1.09</f>
        <v>0.08829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33"/>
      <c r="B31" s="112" t="s">
        <v>640</v>
      </c>
      <c r="C31" s="103">
        <v>2.2</v>
      </c>
      <c r="D31" s="104">
        <v>3.0</v>
      </c>
      <c r="E31" s="103">
        <v>1.0</v>
      </c>
      <c r="F31" s="104">
        <v>183.0</v>
      </c>
      <c r="G31" s="132" t="s">
        <v>620</v>
      </c>
      <c r="H31" s="107">
        <v>1125.369885681</v>
      </c>
      <c r="I31" s="133">
        <v>1186.6644149999997</v>
      </c>
      <c r="J31" s="103" t="s">
        <v>27</v>
      </c>
      <c r="K31" s="109">
        <v>2900.0</v>
      </c>
      <c r="L31" s="109">
        <v>49.0</v>
      </c>
      <c r="M31" s="110">
        <f>0.3*0.27*1.15</f>
        <v>0.09315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91"/>
      <c r="B32" s="112" t="s">
        <v>641</v>
      </c>
      <c r="C32" s="103">
        <v>2.2</v>
      </c>
      <c r="D32" s="104">
        <v>3.0</v>
      </c>
      <c r="E32" s="103">
        <v>1.0</v>
      </c>
      <c r="F32" s="104">
        <v>200.0</v>
      </c>
      <c r="G32" s="132" t="s">
        <v>620</v>
      </c>
      <c r="H32" s="107">
        <v>1188.520643061</v>
      </c>
      <c r="I32" s="133">
        <v>1250.4048899999998</v>
      </c>
      <c r="J32" s="103" t="s">
        <v>27</v>
      </c>
      <c r="K32" s="109">
        <v>2900.0</v>
      </c>
      <c r="L32" s="109">
        <v>51.0</v>
      </c>
      <c r="M32" s="110">
        <f>0.3*0.27*1.2</f>
        <v>0.0972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91"/>
      <c r="B33" s="56" t="s">
        <v>642</v>
      </c>
      <c r="C33" s="103">
        <v>0.37</v>
      </c>
      <c r="D33" s="104">
        <v>0.5</v>
      </c>
      <c r="E33" s="103">
        <v>2.0</v>
      </c>
      <c r="F33" s="104">
        <v>15.0</v>
      </c>
      <c r="G33" s="132" t="s">
        <v>620</v>
      </c>
      <c r="H33" s="107">
        <v>383.97219765</v>
      </c>
      <c r="I33" s="133">
        <v>459.9450299999999</v>
      </c>
      <c r="J33" s="103" t="s">
        <v>27</v>
      </c>
      <c r="K33" s="109">
        <v>2900.0</v>
      </c>
      <c r="L33" s="109">
        <v>20.0</v>
      </c>
      <c r="M33" s="110">
        <f>0.27*0.27*0.5</f>
        <v>0.03645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8.0" customHeight="1">
      <c r="A34" s="67"/>
      <c r="B34" s="56" t="s">
        <v>643</v>
      </c>
      <c r="C34" s="103">
        <v>0.37</v>
      </c>
      <c r="D34" s="104">
        <v>0.5</v>
      </c>
      <c r="E34" s="103">
        <v>2.0</v>
      </c>
      <c r="F34" s="104">
        <v>22.0</v>
      </c>
      <c r="G34" s="132" t="s">
        <v>620</v>
      </c>
      <c r="H34" s="107">
        <v>390.91098457199996</v>
      </c>
      <c r="I34" s="133">
        <v>467.703045</v>
      </c>
      <c r="J34" s="103" t="s">
        <v>27</v>
      </c>
      <c r="K34" s="109">
        <v>2900.0</v>
      </c>
      <c r="L34" s="109">
        <v>20.0</v>
      </c>
      <c r="M34" s="110">
        <f>0.27*0.27*0.52</f>
        <v>0.037908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8.0" customHeight="1">
      <c r="A35" s="68"/>
      <c r="B35" s="56" t="s">
        <v>644</v>
      </c>
      <c r="C35" s="103">
        <v>0.55</v>
      </c>
      <c r="D35" s="104">
        <v>0.75</v>
      </c>
      <c r="E35" s="103">
        <v>2.0</v>
      </c>
      <c r="F35" s="104">
        <v>30.0</v>
      </c>
      <c r="G35" s="132" t="s">
        <v>620</v>
      </c>
      <c r="H35" s="107">
        <v>403.112334609</v>
      </c>
      <c r="I35" s="133">
        <v>480.13925999999987</v>
      </c>
      <c r="J35" s="103" t="s">
        <v>27</v>
      </c>
      <c r="K35" s="109">
        <v>2900.0</v>
      </c>
      <c r="L35" s="109">
        <v>22.0</v>
      </c>
      <c r="M35" s="110">
        <f>0.27*0.27*0.54</f>
        <v>0.039366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8.0" customHeight="1">
      <c r="A36" s="91"/>
      <c r="B36" s="56" t="s">
        <v>645</v>
      </c>
      <c r="C36" s="103">
        <v>0.55</v>
      </c>
      <c r="D36" s="104">
        <v>0.75</v>
      </c>
      <c r="E36" s="103">
        <v>2.0</v>
      </c>
      <c r="F36" s="104">
        <v>37.0</v>
      </c>
      <c r="G36" s="132" t="s">
        <v>620</v>
      </c>
      <c r="H36" s="107">
        <v>411.415489746</v>
      </c>
      <c r="I36" s="133">
        <v>488.2091549999999</v>
      </c>
      <c r="J36" s="103" t="s">
        <v>27</v>
      </c>
      <c r="K36" s="109">
        <v>2900.0</v>
      </c>
      <c r="L36" s="109">
        <v>23.0</v>
      </c>
      <c r="M36" s="110">
        <f>0.27*0.27*0.56</f>
        <v>0.040824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8.0" customHeight="1">
      <c r="A37" s="91"/>
      <c r="B37" s="56" t="s">
        <v>646</v>
      </c>
      <c r="C37" s="103">
        <v>0.75</v>
      </c>
      <c r="D37" s="104">
        <v>1.0</v>
      </c>
      <c r="E37" s="103">
        <v>2.0</v>
      </c>
      <c r="F37" s="104">
        <v>45.0</v>
      </c>
      <c r="G37" s="132" t="s">
        <v>620</v>
      </c>
      <c r="H37" s="107">
        <v>431.3742476339999</v>
      </c>
      <c r="I37" s="133">
        <v>508.13048999999995</v>
      </c>
      <c r="J37" s="103" t="s">
        <v>27</v>
      </c>
      <c r="K37" s="109">
        <v>2900.0</v>
      </c>
      <c r="L37" s="109">
        <v>26.0</v>
      </c>
      <c r="M37" s="110">
        <f>0.29*0.27*0.61</f>
        <v>0.047763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8.0" customHeight="1">
      <c r="A38" s="91"/>
      <c r="B38" s="56" t="s">
        <v>647</v>
      </c>
      <c r="C38" s="103">
        <v>0.75</v>
      </c>
      <c r="D38" s="104">
        <v>1.0</v>
      </c>
      <c r="E38" s="103">
        <v>2.0</v>
      </c>
      <c r="F38" s="104">
        <v>52.0</v>
      </c>
      <c r="G38" s="132" t="s">
        <v>620</v>
      </c>
      <c r="H38" s="107">
        <v>441.041770986</v>
      </c>
      <c r="I38" s="133">
        <v>517.8377549999999</v>
      </c>
      <c r="J38" s="103" t="s">
        <v>27</v>
      </c>
      <c r="K38" s="109">
        <v>2900.0</v>
      </c>
      <c r="L38" s="109">
        <v>26.0</v>
      </c>
      <c r="M38" s="110">
        <f>0.29*0.27*0.62</f>
        <v>0.048546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8.0" customHeight="1">
      <c r="A39" s="91"/>
      <c r="B39" s="56" t="s">
        <v>648</v>
      </c>
      <c r="C39" s="103">
        <v>1.1</v>
      </c>
      <c r="D39" s="104">
        <v>1.5</v>
      </c>
      <c r="E39" s="103">
        <v>2.0</v>
      </c>
      <c r="F39" s="104">
        <v>67.0</v>
      </c>
      <c r="G39" s="132" t="s">
        <v>620</v>
      </c>
      <c r="H39" s="107">
        <v>467.66644215300005</v>
      </c>
      <c r="I39" s="133">
        <v>544.6984199999999</v>
      </c>
      <c r="J39" s="103" t="s">
        <v>27</v>
      </c>
      <c r="K39" s="109">
        <v>2900.0</v>
      </c>
      <c r="L39" s="109">
        <v>28.0</v>
      </c>
      <c r="M39" s="110">
        <f>0.29*0.27*0.66</f>
        <v>0.051678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8.0" customHeight="1">
      <c r="A40" s="77"/>
      <c r="B40" s="56" t="s">
        <v>649</v>
      </c>
      <c r="C40" s="103">
        <v>1.1</v>
      </c>
      <c r="D40" s="104">
        <v>1.5</v>
      </c>
      <c r="E40" s="103">
        <v>2.0</v>
      </c>
      <c r="F40" s="104">
        <v>82.0</v>
      </c>
      <c r="G40" s="132" t="s">
        <v>620</v>
      </c>
      <c r="H40" s="107">
        <v>484.81849971300005</v>
      </c>
      <c r="I40" s="133">
        <v>561.6179099999999</v>
      </c>
      <c r="J40" s="103" t="s">
        <v>27</v>
      </c>
      <c r="K40" s="109">
        <v>2900.0</v>
      </c>
      <c r="L40" s="109">
        <v>29.0</v>
      </c>
      <c r="M40" s="110">
        <f>0.29*0.27*0.7</f>
        <v>0.05481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18.0" customHeight="1">
      <c r="A41" s="91"/>
      <c r="B41" s="56" t="s">
        <v>650</v>
      </c>
      <c r="C41" s="103">
        <v>1.5</v>
      </c>
      <c r="D41" s="104">
        <v>2.0</v>
      </c>
      <c r="E41" s="103">
        <v>2.0</v>
      </c>
      <c r="F41" s="104">
        <v>98.0</v>
      </c>
      <c r="G41" s="132" t="s">
        <v>620</v>
      </c>
      <c r="H41" s="107">
        <v>554.3622967289999</v>
      </c>
      <c r="I41" s="133">
        <v>630.8942549999999</v>
      </c>
      <c r="J41" s="103" t="s">
        <v>27</v>
      </c>
      <c r="K41" s="109">
        <v>2900.0</v>
      </c>
      <c r="L41" s="109">
        <v>35.0</v>
      </c>
      <c r="M41" s="110">
        <f>0.3*0.27*0.79</f>
        <v>0.06399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8.0" customHeight="1">
      <c r="A42" s="91"/>
      <c r="B42" s="56" t="s">
        <v>651</v>
      </c>
      <c r="C42" s="103">
        <v>1.5</v>
      </c>
      <c r="D42" s="104">
        <v>2.0</v>
      </c>
      <c r="E42" s="103">
        <v>2.0</v>
      </c>
      <c r="F42" s="104">
        <v>112.0</v>
      </c>
      <c r="G42" s="132" t="s">
        <v>620</v>
      </c>
      <c r="H42" s="107">
        <v>570.4228597169999</v>
      </c>
      <c r="I42" s="133">
        <v>647.2289699999999</v>
      </c>
      <c r="J42" s="103" t="s">
        <v>27</v>
      </c>
      <c r="K42" s="109">
        <v>2900.0</v>
      </c>
      <c r="L42" s="109">
        <v>36.0</v>
      </c>
      <c r="M42" s="110">
        <f>0.3*0.27*0.82</f>
        <v>0.06642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8.0" customHeight="1">
      <c r="A43" s="91"/>
      <c r="B43" s="56" t="s">
        <v>652</v>
      </c>
      <c r="C43" s="103">
        <v>2.2</v>
      </c>
      <c r="D43" s="104">
        <v>3.0</v>
      </c>
      <c r="E43" s="103">
        <v>2.0</v>
      </c>
      <c r="F43" s="104">
        <v>136.0</v>
      </c>
      <c r="G43" s="132" t="s">
        <v>620</v>
      </c>
      <c r="H43" s="107">
        <v>623.9060937449999</v>
      </c>
      <c r="I43" s="133">
        <v>700.131615</v>
      </c>
      <c r="J43" s="103" t="s">
        <v>27</v>
      </c>
      <c r="K43" s="109">
        <v>2900.0</v>
      </c>
      <c r="L43" s="109">
        <v>41.0</v>
      </c>
      <c r="M43" s="110">
        <f>0.3*0.27*0.88</f>
        <v>0.07128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8.0" customHeight="1">
      <c r="A44" s="91"/>
      <c r="B44" s="56" t="s">
        <v>653</v>
      </c>
      <c r="C44" s="103">
        <v>2.2</v>
      </c>
      <c r="D44" s="104">
        <v>3.0</v>
      </c>
      <c r="E44" s="103">
        <v>2.0</v>
      </c>
      <c r="F44" s="104">
        <v>165.0</v>
      </c>
      <c r="G44" s="132" t="s">
        <v>620</v>
      </c>
      <c r="H44" s="107">
        <v>657.430569885</v>
      </c>
      <c r="I44" s="133">
        <v>733.6587149999999</v>
      </c>
      <c r="J44" s="103" t="s">
        <v>27</v>
      </c>
      <c r="K44" s="109">
        <v>2900.0</v>
      </c>
      <c r="L44" s="109">
        <v>42.0</v>
      </c>
      <c r="M44" s="110">
        <f>0.3*0.27*0.95</f>
        <v>0.07695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8.0" customHeight="1">
      <c r="A45" s="91"/>
      <c r="B45" s="56" t="s">
        <v>654</v>
      </c>
      <c r="C45" s="103">
        <v>3.0</v>
      </c>
      <c r="D45" s="104">
        <v>4.0</v>
      </c>
      <c r="E45" s="103">
        <v>2.0</v>
      </c>
      <c r="F45" s="104">
        <v>198.0</v>
      </c>
      <c r="G45" s="132" t="s">
        <v>620</v>
      </c>
      <c r="H45" s="107">
        <v>782.094842787</v>
      </c>
      <c r="I45" s="133">
        <v>859.4633099999998</v>
      </c>
      <c r="J45" s="103" t="s">
        <v>27</v>
      </c>
      <c r="K45" s="109">
        <v>2900.0</v>
      </c>
      <c r="L45" s="109">
        <v>52.0</v>
      </c>
      <c r="M45" s="110">
        <f>0.31*0.27*1.09</f>
        <v>0.091233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8.0" customHeight="1">
      <c r="A46" s="91"/>
      <c r="B46" s="56" t="s">
        <v>655</v>
      </c>
      <c r="C46" s="103">
        <v>0.37</v>
      </c>
      <c r="D46" s="104">
        <v>0.5</v>
      </c>
      <c r="E46" s="103">
        <v>3.0</v>
      </c>
      <c r="F46" s="104">
        <v>9.0</v>
      </c>
      <c r="G46" s="132" t="s">
        <v>620</v>
      </c>
      <c r="H46" s="107">
        <v>277.590458829</v>
      </c>
      <c r="I46" s="133">
        <v>338.58472499999993</v>
      </c>
      <c r="J46" s="103" t="s">
        <v>27</v>
      </c>
      <c r="K46" s="109">
        <v>2900.0</v>
      </c>
      <c r="L46" s="109">
        <v>20.0</v>
      </c>
      <c r="M46" s="110">
        <f>0.27*0.27*0.5</f>
        <v>0.03645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8.0" customHeight="1">
      <c r="A47" s="91"/>
      <c r="B47" s="56" t="s">
        <v>656</v>
      </c>
      <c r="C47" s="103">
        <v>0.37</v>
      </c>
      <c r="D47" s="104">
        <v>0.5</v>
      </c>
      <c r="E47" s="103">
        <v>3.0</v>
      </c>
      <c r="F47" s="104">
        <v>14.0</v>
      </c>
      <c r="G47" s="132" t="s">
        <v>620</v>
      </c>
      <c r="H47" s="107">
        <v>337.427750544</v>
      </c>
      <c r="I47" s="133">
        <v>398.699595</v>
      </c>
      <c r="J47" s="103" t="s">
        <v>27</v>
      </c>
      <c r="K47" s="109">
        <v>2900.0</v>
      </c>
      <c r="L47" s="109">
        <v>20.0</v>
      </c>
      <c r="M47" s="110">
        <f>0.27*0.27*0.52</f>
        <v>0.037908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8.0" customHeight="1">
      <c r="A48" s="91"/>
      <c r="B48" s="56" t="s">
        <v>657</v>
      </c>
      <c r="C48" s="103">
        <v>0.37</v>
      </c>
      <c r="D48" s="104">
        <v>0.5</v>
      </c>
      <c r="E48" s="103">
        <v>3.0</v>
      </c>
      <c r="F48" s="104">
        <v>19.0</v>
      </c>
      <c r="G48" s="132" t="s">
        <v>620</v>
      </c>
      <c r="H48" s="107">
        <v>369.58785846899997</v>
      </c>
      <c r="I48" s="133">
        <v>430.55034</v>
      </c>
      <c r="J48" s="103" t="s">
        <v>27</v>
      </c>
      <c r="K48" s="109">
        <v>2900.0</v>
      </c>
      <c r="L48" s="109">
        <v>21.0</v>
      </c>
      <c r="M48" s="110">
        <f>0.27*0.27*0.54</f>
        <v>0.039366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8.0" customHeight="1">
      <c r="A49" s="91"/>
      <c r="B49" s="56" t="s">
        <v>658</v>
      </c>
      <c r="C49" s="103">
        <v>0.37</v>
      </c>
      <c r="D49" s="104">
        <v>0.5</v>
      </c>
      <c r="E49" s="103">
        <v>3.0</v>
      </c>
      <c r="F49" s="104">
        <v>23.0</v>
      </c>
      <c r="G49" s="132" t="s">
        <v>620</v>
      </c>
      <c r="H49" s="107">
        <v>397.57689785099996</v>
      </c>
      <c r="I49" s="133">
        <v>458.2686749999999</v>
      </c>
      <c r="J49" s="103" t="s">
        <v>27</v>
      </c>
      <c r="K49" s="109">
        <v>2900.0</v>
      </c>
      <c r="L49" s="109">
        <v>21.0</v>
      </c>
      <c r="M49" s="110">
        <f>0.27*0.27*0.56</f>
        <v>0.040824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8.0" customHeight="1">
      <c r="A50" s="91"/>
      <c r="B50" s="56" t="s">
        <v>659</v>
      </c>
      <c r="C50" s="103">
        <v>0.55</v>
      </c>
      <c r="D50" s="104">
        <v>0.75</v>
      </c>
      <c r="E50" s="103">
        <v>3.0</v>
      </c>
      <c r="F50" s="104">
        <v>28.0</v>
      </c>
      <c r="G50" s="132" t="s">
        <v>620</v>
      </c>
      <c r="H50" s="107">
        <v>448.79917883699994</v>
      </c>
      <c r="I50" s="133">
        <v>510.3526349999999</v>
      </c>
      <c r="J50" s="103" t="s">
        <v>27</v>
      </c>
      <c r="K50" s="109">
        <v>2900.0</v>
      </c>
      <c r="L50" s="109">
        <v>23.0</v>
      </c>
      <c r="M50" s="110">
        <f>0.27*0.27*0.58</f>
        <v>0.042282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8.0" customHeight="1">
      <c r="A51" s="91"/>
      <c r="B51" s="56" t="s">
        <v>660</v>
      </c>
      <c r="C51" s="103">
        <v>0.55</v>
      </c>
      <c r="D51" s="104">
        <v>0.75</v>
      </c>
      <c r="E51" s="103">
        <v>3.0</v>
      </c>
      <c r="F51" s="104">
        <v>32.0</v>
      </c>
      <c r="G51" s="132" t="s">
        <v>620</v>
      </c>
      <c r="H51" s="107">
        <v>464.8987237739999</v>
      </c>
      <c r="I51" s="133">
        <v>525.5957699999999</v>
      </c>
      <c r="J51" s="103" t="s">
        <v>27</v>
      </c>
      <c r="K51" s="109">
        <v>2900.0</v>
      </c>
      <c r="L51" s="109">
        <v>24.0</v>
      </c>
      <c r="M51" s="110">
        <f>0.27*0.27*0.59</f>
        <v>0.043011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8.0" customHeight="1">
      <c r="A52" s="91"/>
      <c r="B52" s="56" t="s">
        <v>661</v>
      </c>
      <c r="C52" s="103">
        <v>0.75</v>
      </c>
      <c r="D52" s="104">
        <v>1.0</v>
      </c>
      <c r="E52" s="103">
        <v>3.0</v>
      </c>
      <c r="F52" s="104">
        <v>37.0</v>
      </c>
      <c r="G52" s="132" t="s">
        <v>620</v>
      </c>
      <c r="H52" s="107">
        <v>516.7057339950001</v>
      </c>
      <c r="I52" s="133">
        <v>578.2255199999998</v>
      </c>
      <c r="J52" s="103" t="s">
        <v>27</v>
      </c>
      <c r="K52" s="109">
        <v>2900.0</v>
      </c>
      <c r="L52" s="109">
        <v>27.0</v>
      </c>
      <c r="M52" s="110">
        <f>0.29*0.27*0.64</f>
        <v>0.050112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8.0" customHeight="1">
      <c r="A53" s="91"/>
      <c r="B53" s="56" t="s">
        <v>662</v>
      </c>
      <c r="C53" s="103">
        <v>0.75</v>
      </c>
      <c r="D53" s="104">
        <v>1.0</v>
      </c>
      <c r="E53" s="103">
        <v>3.0</v>
      </c>
      <c r="F53" s="104">
        <v>42.0</v>
      </c>
      <c r="G53" s="132" t="s">
        <v>620</v>
      </c>
      <c r="H53" s="107">
        <v>536.898383577</v>
      </c>
      <c r="I53" s="133">
        <v>597.64005</v>
      </c>
      <c r="J53" s="103" t="s">
        <v>27</v>
      </c>
      <c r="K53" s="109">
        <v>2900.0</v>
      </c>
      <c r="L53" s="109">
        <v>28.0</v>
      </c>
      <c r="M53" s="110">
        <f>0.29*0.27*0.66</f>
        <v>0.051678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8.0" customHeight="1">
      <c r="A54" s="91"/>
      <c r="B54" s="56" t="s">
        <v>663</v>
      </c>
      <c r="C54" s="103">
        <v>0.75</v>
      </c>
      <c r="D54" s="104">
        <v>1.0</v>
      </c>
      <c r="E54" s="103">
        <v>3.0</v>
      </c>
      <c r="F54" s="104">
        <v>47.0</v>
      </c>
      <c r="G54" s="132" t="s">
        <v>620</v>
      </c>
      <c r="H54" s="107">
        <v>569.058491502</v>
      </c>
      <c r="I54" s="133">
        <v>629.4907949999999</v>
      </c>
      <c r="J54" s="103" t="s">
        <v>27</v>
      </c>
      <c r="K54" s="109">
        <v>2900.0</v>
      </c>
      <c r="L54" s="109">
        <v>28.0</v>
      </c>
      <c r="M54" s="110">
        <f>0.29*0.27*0.68</f>
        <v>0.053244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8.0" customHeight="1">
      <c r="A55" s="91"/>
      <c r="B55" s="56" t="s">
        <v>664</v>
      </c>
      <c r="C55" s="103">
        <v>1.1</v>
      </c>
      <c r="D55" s="104">
        <v>1.5</v>
      </c>
      <c r="E55" s="103">
        <v>3.0</v>
      </c>
      <c r="F55" s="104">
        <v>51.0</v>
      </c>
      <c r="G55" s="132" t="s">
        <v>620</v>
      </c>
      <c r="H55" s="107">
        <v>596.735675292</v>
      </c>
      <c r="I55" s="133">
        <v>658.3007099999999</v>
      </c>
      <c r="J55" s="103" t="s">
        <v>27</v>
      </c>
      <c r="K55" s="109">
        <v>2900.0</v>
      </c>
      <c r="L55" s="109">
        <v>29.0</v>
      </c>
      <c r="M55" s="110">
        <f>0.29*0.27*0.7</f>
        <v>0.05481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8.0" customHeight="1">
      <c r="A56" s="91"/>
      <c r="B56" s="56" t="s">
        <v>665</v>
      </c>
      <c r="C56" s="103">
        <v>1.1</v>
      </c>
      <c r="D56" s="104">
        <v>1.5</v>
      </c>
      <c r="E56" s="103">
        <v>3.0</v>
      </c>
      <c r="F56" s="104">
        <v>55.0</v>
      </c>
      <c r="G56" s="132" t="s">
        <v>620</v>
      </c>
      <c r="H56" s="107">
        <v>616.148685894</v>
      </c>
      <c r="I56" s="133">
        <v>677.4423449999999</v>
      </c>
      <c r="J56" s="103" t="s">
        <v>27</v>
      </c>
      <c r="K56" s="109">
        <v>2900.0</v>
      </c>
      <c r="L56" s="109">
        <v>30.0</v>
      </c>
      <c r="M56" s="110">
        <f>0.29*0.27*0.71</f>
        <v>0.055593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8.0" customHeight="1">
      <c r="A57" s="91"/>
      <c r="B57" s="56" t="s">
        <v>666</v>
      </c>
      <c r="C57" s="103">
        <v>1.1</v>
      </c>
      <c r="D57" s="104">
        <v>1.5</v>
      </c>
      <c r="E57" s="103">
        <v>3.0</v>
      </c>
      <c r="F57" s="104">
        <v>60.0</v>
      </c>
      <c r="G57" s="132" t="s">
        <v>620</v>
      </c>
      <c r="H57" s="107">
        <v>636.107443782</v>
      </c>
      <c r="I57" s="133">
        <v>697.0907849999998</v>
      </c>
      <c r="J57" s="103" t="s">
        <v>27</v>
      </c>
      <c r="K57" s="109">
        <v>2900.0</v>
      </c>
      <c r="L57" s="109">
        <v>31.0</v>
      </c>
      <c r="M57" s="110">
        <f>0.29*0.27*0.73</f>
        <v>0.057159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8.0" customHeight="1">
      <c r="A58" s="91"/>
      <c r="B58" s="56" t="s">
        <v>667</v>
      </c>
      <c r="C58" s="103">
        <v>1.1</v>
      </c>
      <c r="D58" s="104">
        <v>1.5</v>
      </c>
      <c r="E58" s="103">
        <v>3.0</v>
      </c>
      <c r="F58" s="104">
        <v>69.0</v>
      </c>
      <c r="G58" s="132" t="s">
        <v>620</v>
      </c>
      <c r="H58" s="107">
        <v>716.176367028</v>
      </c>
      <c r="I58" s="133">
        <v>777.1659749999999</v>
      </c>
      <c r="J58" s="103" t="s">
        <v>27</v>
      </c>
      <c r="K58" s="109">
        <v>2900.0</v>
      </c>
      <c r="L58" s="109">
        <v>32.0</v>
      </c>
      <c r="M58" s="110">
        <f>0.29*0.27*0.77</f>
        <v>0.060291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8.0" customHeight="1">
      <c r="A59" s="91"/>
      <c r="B59" s="56" t="s">
        <v>668</v>
      </c>
      <c r="C59" s="103">
        <v>1.5</v>
      </c>
      <c r="D59" s="104">
        <v>2.0</v>
      </c>
      <c r="E59" s="103">
        <v>3.0</v>
      </c>
      <c r="F59" s="104">
        <v>79.0</v>
      </c>
      <c r="G59" s="132" t="s">
        <v>620</v>
      </c>
      <c r="H59" s="107">
        <v>749.700843168</v>
      </c>
      <c r="I59" s="133">
        <v>810.42018</v>
      </c>
      <c r="J59" s="103" t="s">
        <v>27</v>
      </c>
      <c r="K59" s="109">
        <v>2900.0</v>
      </c>
      <c r="L59" s="109">
        <v>38.0</v>
      </c>
      <c r="M59" s="110">
        <f>0.3*0.27*0.86</f>
        <v>0.06966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8.0" customHeight="1">
      <c r="A60" s="91"/>
      <c r="B60" s="56" t="s">
        <v>669</v>
      </c>
      <c r="C60" s="103">
        <v>1.5</v>
      </c>
      <c r="D60" s="104">
        <v>2.0</v>
      </c>
      <c r="E60" s="103">
        <v>3.0</v>
      </c>
      <c r="F60" s="104">
        <v>88.0</v>
      </c>
      <c r="G60" s="132" t="s">
        <v>620</v>
      </c>
      <c r="H60" s="107">
        <v>790.9437452099999</v>
      </c>
      <c r="I60" s="133">
        <v>851.159505</v>
      </c>
      <c r="J60" s="103" t="s">
        <v>27</v>
      </c>
      <c r="K60" s="109">
        <v>2900.0</v>
      </c>
      <c r="L60" s="109">
        <v>39.0</v>
      </c>
      <c r="M60" s="110">
        <f>0.3*0.27*0.89</f>
        <v>0.07209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8.0" customHeight="1">
      <c r="A61" s="91"/>
      <c r="B61" s="56" t="s">
        <v>670</v>
      </c>
      <c r="C61" s="103">
        <v>2.2</v>
      </c>
      <c r="D61" s="104">
        <v>3.0</v>
      </c>
      <c r="E61" s="103">
        <v>3.0</v>
      </c>
      <c r="F61" s="104">
        <v>98.0</v>
      </c>
      <c r="G61" s="132" t="s">
        <v>620</v>
      </c>
      <c r="H61" s="107">
        <v>848.0523004949999</v>
      </c>
      <c r="I61" s="133">
        <v>907.9606499999998</v>
      </c>
      <c r="J61" s="103" t="s">
        <v>27</v>
      </c>
      <c r="K61" s="109">
        <v>2900.0</v>
      </c>
      <c r="L61" s="109">
        <v>42.0</v>
      </c>
      <c r="M61" s="110">
        <f>0.3*0.27*0.93</f>
        <v>0.07533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8.0" customHeight="1">
      <c r="A62" s="91"/>
      <c r="B62" s="56" t="s">
        <v>671</v>
      </c>
      <c r="C62" s="103">
        <v>2.2</v>
      </c>
      <c r="D62" s="104">
        <v>3.0</v>
      </c>
      <c r="E62" s="103">
        <v>3.0</v>
      </c>
      <c r="F62" s="104">
        <v>107.0</v>
      </c>
      <c r="G62" s="132" t="s">
        <v>620</v>
      </c>
      <c r="H62" s="107">
        <v>895.961115816</v>
      </c>
      <c r="I62" s="133">
        <v>957.8224649999999</v>
      </c>
      <c r="J62" s="103" t="s">
        <v>27</v>
      </c>
      <c r="K62" s="109">
        <v>2900.0</v>
      </c>
      <c r="L62" s="109">
        <v>43.0</v>
      </c>
      <c r="M62" s="110">
        <f>0.3*0.27*0.97</f>
        <v>0.07857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8.0" customHeight="1">
      <c r="A63" s="91"/>
      <c r="B63" s="56" t="s">
        <v>672</v>
      </c>
      <c r="C63" s="103">
        <v>2.2</v>
      </c>
      <c r="D63" s="104">
        <v>3.0</v>
      </c>
      <c r="E63" s="103">
        <v>3.0</v>
      </c>
      <c r="F63" s="104">
        <v>116.0</v>
      </c>
      <c r="G63" s="132" t="s">
        <v>620</v>
      </c>
      <c r="H63" s="107">
        <v>945.5461549439999</v>
      </c>
      <c r="I63" s="133">
        <v>1006.5926999999998</v>
      </c>
      <c r="J63" s="103" t="s">
        <v>27</v>
      </c>
      <c r="K63" s="109">
        <v>2900.0</v>
      </c>
      <c r="L63" s="109">
        <v>44.0</v>
      </c>
      <c r="M63" s="110">
        <f>0.3*0.27*1</f>
        <v>0.081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8.0" customHeight="1">
      <c r="A64" s="91"/>
      <c r="B64" s="56" t="s">
        <v>673</v>
      </c>
      <c r="C64" s="103">
        <v>2.2</v>
      </c>
      <c r="D64" s="104">
        <v>3.0</v>
      </c>
      <c r="E64" s="103">
        <v>3.0</v>
      </c>
      <c r="F64" s="104">
        <v>124.0</v>
      </c>
      <c r="G64" s="132" t="s">
        <v>620</v>
      </c>
      <c r="H64" s="107">
        <v>1006.5139231799998</v>
      </c>
      <c r="I64" s="133">
        <v>1067.2533599999997</v>
      </c>
      <c r="J64" s="103" t="s">
        <v>27</v>
      </c>
      <c r="K64" s="109">
        <v>2900.0</v>
      </c>
      <c r="L64" s="109">
        <v>45.0</v>
      </c>
      <c r="M64" s="110">
        <f>0.3*0.27*1.04</f>
        <v>0.08424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8.0" customHeight="1">
      <c r="A65" s="91"/>
      <c r="B65" s="56" t="s">
        <v>674</v>
      </c>
      <c r="C65" s="103">
        <v>2.2</v>
      </c>
      <c r="D65" s="104">
        <v>3.0</v>
      </c>
      <c r="E65" s="103">
        <v>3.0</v>
      </c>
      <c r="F65" s="104">
        <v>133.0</v>
      </c>
      <c r="G65" s="132" t="s">
        <v>620</v>
      </c>
      <c r="H65" s="107">
        <v>1115.390506737</v>
      </c>
      <c r="I65" s="133">
        <v>1175.86557</v>
      </c>
      <c r="J65" s="103" t="s">
        <v>27</v>
      </c>
      <c r="K65" s="109">
        <v>2900.0</v>
      </c>
      <c r="L65" s="109">
        <v>46.0</v>
      </c>
      <c r="M65" s="110">
        <f>0.3*0.27*1.07</f>
        <v>0.08667</v>
      </c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ht="18.0" customHeight="1">
      <c r="A66" s="91"/>
      <c r="B66" s="56" t="s">
        <v>675</v>
      </c>
      <c r="C66" s="103">
        <v>3.0</v>
      </c>
      <c r="D66" s="104">
        <v>4.0</v>
      </c>
      <c r="E66" s="103">
        <v>3.0</v>
      </c>
      <c r="F66" s="104">
        <v>142.0</v>
      </c>
      <c r="G66" s="132" t="s">
        <v>620</v>
      </c>
      <c r="H66" s="107">
        <v>1218.146924301</v>
      </c>
      <c r="I66" s="133">
        <v>1280.0334899999998</v>
      </c>
      <c r="J66" s="103" t="s">
        <v>27</v>
      </c>
      <c r="K66" s="109">
        <v>2900.0</v>
      </c>
      <c r="L66" s="109">
        <v>54.0</v>
      </c>
      <c r="M66" s="110">
        <f>0.31*0.27*1.18</f>
        <v>0.098766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ht="18.0" customHeight="1">
      <c r="A67" s="91"/>
      <c r="B67" s="56" t="s">
        <v>676</v>
      </c>
      <c r="C67" s="103">
        <v>3.0</v>
      </c>
      <c r="D67" s="104">
        <v>4.0</v>
      </c>
      <c r="E67" s="103">
        <v>3.0</v>
      </c>
      <c r="F67" s="104">
        <v>151.0</v>
      </c>
      <c r="G67" s="132" t="s">
        <v>620</v>
      </c>
      <c r="H67" s="107">
        <v>1286.8721003879998</v>
      </c>
      <c r="I67" s="133">
        <v>1348.7640449999997</v>
      </c>
      <c r="J67" s="103" t="s">
        <v>27</v>
      </c>
      <c r="K67" s="109">
        <v>2900.0</v>
      </c>
      <c r="L67" s="109">
        <v>55.0</v>
      </c>
      <c r="M67" s="110">
        <f>0.31*0.27*1.21</f>
        <v>0.101277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ht="18.0" customHeight="1">
      <c r="A68" s="91"/>
      <c r="B68" s="56" t="s">
        <v>677</v>
      </c>
      <c r="C68" s="103">
        <v>3.0</v>
      </c>
      <c r="D68" s="104">
        <v>4.0</v>
      </c>
      <c r="E68" s="103">
        <v>3.0</v>
      </c>
      <c r="F68" s="104">
        <v>168.0</v>
      </c>
      <c r="G68" s="132" t="s">
        <v>620</v>
      </c>
      <c r="H68" s="107">
        <v>1394.38431573</v>
      </c>
      <c r="I68" s="133">
        <v>1455.9727949999997</v>
      </c>
      <c r="J68" s="103" t="s">
        <v>27</v>
      </c>
      <c r="K68" s="109">
        <v>2900.0</v>
      </c>
      <c r="L68" s="109">
        <v>57.0</v>
      </c>
      <c r="M68" s="110">
        <f>0.31*0.27*1.27</f>
        <v>0.106299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ht="18.0" customHeight="1">
      <c r="A69" s="91"/>
      <c r="B69" s="56" t="s">
        <v>678</v>
      </c>
      <c r="C69" s="103">
        <v>0.37</v>
      </c>
      <c r="D69" s="104">
        <v>0.5</v>
      </c>
      <c r="E69" s="103">
        <v>4.0</v>
      </c>
      <c r="F69" s="104">
        <v>15.0</v>
      </c>
      <c r="G69" s="132" t="s">
        <v>679</v>
      </c>
      <c r="H69" s="107">
        <v>391.729605501</v>
      </c>
      <c r="I69" s="133">
        <v>467.703045</v>
      </c>
      <c r="J69" s="103" t="s">
        <v>27</v>
      </c>
      <c r="K69" s="109">
        <v>2900.0</v>
      </c>
      <c r="L69" s="109">
        <v>21.0</v>
      </c>
      <c r="M69" s="110">
        <f>0.27*0.27*0.52</f>
        <v>0.037908</v>
      </c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ht="18.0" customHeight="1">
      <c r="A70" s="91"/>
      <c r="B70" s="56" t="s">
        <v>680</v>
      </c>
      <c r="C70" s="103">
        <v>0.55</v>
      </c>
      <c r="D70" s="104">
        <v>0.75</v>
      </c>
      <c r="E70" s="103">
        <v>4.0</v>
      </c>
      <c r="F70" s="104">
        <v>24.0</v>
      </c>
      <c r="G70" s="132" t="s">
        <v>679</v>
      </c>
      <c r="H70" s="107">
        <v>405.60717934499996</v>
      </c>
      <c r="I70" s="133">
        <v>482.3614049999999</v>
      </c>
      <c r="J70" s="103" t="s">
        <v>27</v>
      </c>
      <c r="K70" s="109">
        <v>2900.0</v>
      </c>
      <c r="L70" s="109">
        <v>22.0</v>
      </c>
      <c r="M70" s="110">
        <f>0.27*0.27*0.55</f>
        <v>0.040095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ht="18.0" customHeight="1">
      <c r="A71" s="91"/>
      <c r="B71" s="56" t="s">
        <v>681</v>
      </c>
      <c r="C71" s="103">
        <v>0.75</v>
      </c>
      <c r="D71" s="104">
        <v>1.0</v>
      </c>
      <c r="E71" s="103">
        <v>4.0</v>
      </c>
      <c r="F71" s="104">
        <v>32.0</v>
      </c>
      <c r="G71" s="132" t="s">
        <v>679</v>
      </c>
      <c r="H71" s="107">
        <v>428.879402898</v>
      </c>
      <c r="I71" s="133">
        <v>505.63544999999993</v>
      </c>
      <c r="J71" s="103" t="s">
        <v>27</v>
      </c>
      <c r="K71" s="109">
        <v>2900.0</v>
      </c>
      <c r="L71" s="109">
        <v>25.0</v>
      </c>
      <c r="M71" s="110">
        <f>0.29*0.27*0.61</f>
        <v>0.047763</v>
      </c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ht="18.0" customHeight="1">
      <c r="A72" s="91"/>
      <c r="B72" s="56" t="s">
        <v>682</v>
      </c>
      <c r="C72" s="103">
        <v>1.1</v>
      </c>
      <c r="D72" s="104">
        <v>1.5</v>
      </c>
      <c r="E72" s="103">
        <v>4.0</v>
      </c>
      <c r="F72" s="104">
        <v>40.0</v>
      </c>
      <c r="G72" s="132" t="s">
        <v>679</v>
      </c>
      <c r="H72" s="107">
        <v>449.65678171499997</v>
      </c>
      <c r="I72" s="133">
        <v>526.6873499999999</v>
      </c>
      <c r="J72" s="103" t="s">
        <v>27</v>
      </c>
      <c r="K72" s="109">
        <v>2900.0</v>
      </c>
      <c r="L72" s="109">
        <v>27.0</v>
      </c>
      <c r="M72" s="110">
        <f>0.29*0.27*0.63</f>
        <v>0.049329</v>
      </c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ht="18.0" customHeight="1">
      <c r="A73" s="91"/>
      <c r="B73" s="56" t="s">
        <v>683</v>
      </c>
      <c r="C73" s="103">
        <v>1.1</v>
      </c>
      <c r="D73" s="104">
        <v>1.5</v>
      </c>
      <c r="E73" s="103">
        <v>4.0</v>
      </c>
      <c r="F73" s="104">
        <v>48.0</v>
      </c>
      <c r="G73" s="132" t="s">
        <v>679</v>
      </c>
      <c r="H73" s="107">
        <v>459.909034302</v>
      </c>
      <c r="I73" s="133">
        <v>536.9404049999998</v>
      </c>
      <c r="J73" s="103" t="s">
        <v>27</v>
      </c>
      <c r="K73" s="109">
        <v>2900.0</v>
      </c>
      <c r="L73" s="109">
        <v>27.0</v>
      </c>
      <c r="M73" s="110">
        <f>0.29*0.27*0.66</f>
        <v>0.051678</v>
      </c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8.0" customHeight="1">
      <c r="A74" s="91"/>
      <c r="B74" s="56" t="s">
        <v>684</v>
      </c>
      <c r="C74" s="103">
        <v>1.5</v>
      </c>
      <c r="D74" s="104">
        <v>2.0</v>
      </c>
      <c r="E74" s="103">
        <v>4.0</v>
      </c>
      <c r="F74" s="104">
        <v>56.0</v>
      </c>
      <c r="G74" s="132" t="s">
        <v>679</v>
      </c>
      <c r="H74" s="107">
        <v>510.5855680019999</v>
      </c>
      <c r="I74" s="133">
        <v>586.5683099999998</v>
      </c>
      <c r="J74" s="103" t="s">
        <v>27</v>
      </c>
      <c r="K74" s="109">
        <v>2900.0</v>
      </c>
      <c r="L74" s="109">
        <v>33.0</v>
      </c>
      <c r="M74" s="110">
        <f>0.3*0.27*0.74</f>
        <v>0.05994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8.0" customHeight="1">
      <c r="A75" s="91"/>
      <c r="B75" s="56" t="s">
        <v>685</v>
      </c>
      <c r="C75" s="103">
        <v>1.5</v>
      </c>
      <c r="D75" s="104">
        <v>2.0</v>
      </c>
      <c r="E75" s="103">
        <v>4.0</v>
      </c>
      <c r="F75" s="104">
        <v>64.0</v>
      </c>
      <c r="G75" s="132" t="s">
        <v>679</v>
      </c>
      <c r="H75" s="107">
        <v>519.7463260169999</v>
      </c>
      <c r="I75" s="133">
        <v>596.7823799999999</v>
      </c>
      <c r="J75" s="103" t="s">
        <v>27</v>
      </c>
      <c r="K75" s="109">
        <v>2900.0</v>
      </c>
      <c r="L75" s="109">
        <v>33.0</v>
      </c>
      <c r="M75" s="110">
        <f>0.3*0.27*0.77</f>
        <v>0.06237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8.0" customHeight="1">
      <c r="A76" s="91"/>
      <c r="B76" s="56" t="s">
        <v>686</v>
      </c>
      <c r="C76" s="103">
        <v>2.2</v>
      </c>
      <c r="D76" s="104">
        <v>3.0</v>
      </c>
      <c r="E76" s="103">
        <v>4.0</v>
      </c>
      <c r="F76" s="104">
        <v>81.0</v>
      </c>
      <c r="G76" s="132" t="s">
        <v>679</v>
      </c>
      <c r="H76" s="107">
        <v>579.310744089</v>
      </c>
      <c r="I76" s="133">
        <v>655.5327749999999</v>
      </c>
      <c r="J76" s="103" t="s">
        <v>27</v>
      </c>
      <c r="K76" s="109">
        <v>2900.0</v>
      </c>
      <c r="L76" s="109">
        <v>37.0</v>
      </c>
      <c r="M76" s="110">
        <f>0.3*0.27*0.82</f>
        <v>0.06642</v>
      </c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8.0" customHeight="1">
      <c r="A77" s="91"/>
      <c r="B77" s="56" t="s">
        <v>687</v>
      </c>
      <c r="C77" s="103">
        <v>2.2</v>
      </c>
      <c r="D77" s="104">
        <v>3.0</v>
      </c>
      <c r="E77" s="103">
        <v>4.0</v>
      </c>
      <c r="F77" s="104">
        <v>95.0</v>
      </c>
      <c r="G77" s="132" t="s">
        <v>679</v>
      </c>
      <c r="H77" s="107">
        <v>602.582967642</v>
      </c>
      <c r="I77" s="133">
        <v>678.533925</v>
      </c>
      <c r="J77" s="103" t="s">
        <v>27</v>
      </c>
      <c r="K77" s="109">
        <v>2900.0</v>
      </c>
      <c r="L77" s="109">
        <v>38.0</v>
      </c>
      <c r="M77" s="110">
        <f>0.3*0.27*0.88</f>
        <v>0.07128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8.0" customHeight="1">
      <c r="A78" s="91"/>
      <c r="B78" s="56" t="s">
        <v>688</v>
      </c>
      <c r="C78" s="103">
        <v>3.0</v>
      </c>
      <c r="D78" s="104">
        <v>4.0</v>
      </c>
      <c r="E78" s="103">
        <v>4.0</v>
      </c>
      <c r="F78" s="104">
        <v>112.0</v>
      </c>
      <c r="G78" s="132" t="s">
        <v>679</v>
      </c>
      <c r="H78" s="107">
        <v>699.258201162</v>
      </c>
      <c r="I78" s="133">
        <v>777.1659749999999</v>
      </c>
      <c r="J78" s="103" t="s">
        <v>27</v>
      </c>
      <c r="K78" s="109">
        <v>2900.0</v>
      </c>
      <c r="L78" s="109">
        <v>46.0</v>
      </c>
      <c r="M78" s="110">
        <f>0.31*0.27*1</f>
        <v>0.0837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8.0" customHeight="1">
      <c r="A79" s="91"/>
      <c r="B79" s="56" t="s">
        <v>689</v>
      </c>
      <c r="C79" s="103">
        <v>3.0</v>
      </c>
      <c r="D79" s="104">
        <v>4.0</v>
      </c>
      <c r="E79" s="103">
        <v>4.0</v>
      </c>
      <c r="F79" s="104">
        <v>129.0</v>
      </c>
      <c r="G79" s="132" t="s">
        <v>679</v>
      </c>
      <c r="H79" s="107">
        <v>720.5813272649999</v>
      </c>
      <c r="I79" s="133">
        <v>798.2178749999998</v>
      </c>
      <c r="J79" s="103" t="s">
        <v>27</v>
      </c>
      <c r="K79" s="109">
        <v>2900.0</v>
      </c>
      <c r="L79" s="109">
        <v>48.0</v>
      </c>
      <c r="M79" s="110">
        <f>0.31*0.27*1.05</f>
        <v>0.087885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8.0" customHeight="1">
      <c r="A80" s="91"/>
      <c r="B80" s="56" t="s">
        <v>690</v>
      </c>
      <c r="C80" s="103">
        <v>4.0</v>
      </c>
      <c r="D80" s="104">
        <v>5.5</v>
      </c>
      <c r="E80" s="103">
        <v>4.0</v>
      </c>
      <c r="F80" s="104">
        <v>153.0</v>
      </c>
      <c r="G80" s="132" t="s">
        <v>679</v>
      </c>
      <c r="H80" s="107">
        <v>808.1347847189999</v>
      </c>
      <c r="I80" s="133">
        <v>885.5052899999998</v>
      </c>
      <c r="J80" s="103" t="s">
        <v>27</v>
      </c>
      <c r="K80" s="109">
        <v>2900.0</v>
      </c>
      <c r="L80" s="109">
        <v>57.0</v>
      </c>
      <c r="M80" s="110">
        <f>0.33*0.27*1.14</f>
        <v>0.101574</v>
      </c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18.0" customHeight="1">
      <c r="A81" s="91"/>
      <c r="B81" s="56" t="s">
        <v>691</v>
      </c>
      <c r="C81" s="103">
        <v>4.0</v>
      </c>
      <c r="D81" s="104">
        <v>5.5</v>
      </c>
      <c r="E81" s="103">
        <v>4.0</v>
      </c>
      <c r="F81" s="104">
        <v>178.0</v>
      </c>
      <c r="G81" s="132" t="s">
        <v>679</v>
      </c>
      <c r="H81" s="107">
        <v>843.0626110229999</v>
      </c>
      <c r="I81" s="133">
        <v>920.1239699999998</v>
      </c>
      <c r="J81" s="103" t="s">
        <v>27</v>
      </c>
      <c r="K81" s="109">
        <v>2900.0</v>
      </c>
      <c r="L81" s="109">
        <v>59.0</v>
      </c>
      <c r="M81" s="110">
        <f>0.33*0.27*1.22</f>
        <v>0.108702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8.0" customHeight="1">
      <c r="A82" s="91"/>
      <c r="B82" s="56" t="s">
        <v>692</v>
      </c>
      <c r="C82" s="103">
        <v>0.75</v>
      </c>
      <c r="D82" s="104">
        <v>1.0</v>
      </c>
      <c r="E82" s="103">
        <v>8.0</v>
      </c>
      <c r="F82" s="104">
        <v>9.0</v>
      </c>
      <c r="G82" s="132" t="s">
        <v>693</v>
      </c>
      <c r="H82" s="107">
        <v>494.252131371</v>
      </c>
      <c r="I82" s="133">
        <v>647.7747599999999</v>
      </c>
      <c r="J82" s="103" t="s">
        <v>27</v>
      </c>
      <c r="K82" s="109">
        <v>2900.0</v>
      </c>
      <c r="L82" s="109">
        <v>32.0</v>
      </c>
      <c r="M82" s="110">
        <f t="shared" ref="M82:M83" si="1">0.3*0.31*0.61</f>
        <v>0.05673</v>
      </c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8.0" customHeight="1">
      <c r="A83" s="91"/>
      <c r="B83" s="56" t="s">
        <v>694</v>
      </c>
      <c r="C83" s="103">
        <v>0.75</v>
      </c>
      <c r="D83" s="104">
        <v>1.0</v>
      </c>
      <c r="E83" s="103">
        <v>8.0</v>
      </c>
      <c r="F83" s="104">
        <v>18.0</v>
      </c>
      <c r="G83" s="132" t="s">
        <v>693</v>
      </c>
      <c r="H83" s="107">
        <v>494.252131371</v>
      </c>
      <c r="I83" s="133">
        <v>647.7747599999999</v>
      </c>
      <c r="J83" s="103" t="s">
        <v>27</v>
      </c>
      <c r="K83" s="109">
        <v>2900.0</v>
      </c>
      <c r="L83" s="109">
        <v>32.0</v>
      </c>
      <c r="M83" s="110">
        <f t="shared" si="1"/>
        <v>0.05673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8.0" customHeight="1">
      <c r="A84" s="91"/>
      <c r="B84" s="56" t="s">
        <v>695</v>
      </c>
      <c r="C84" s="103">
        <v>1.1</v>
      </c>
      <c r="D84" s="104">
        <v>1.5</v>
      </c>
      <c r="E84" s="103">
        <v>8.0</v>
      </c>
      <c r="F84" s="104">
        <v>27.0</v>
      </c>
      <c r="G84" s="132" t="s">
        <v>693</v>
      </c>
      <c r="H84" s="107">
        <v>567.9280149809999</v>
      </c>
      <c r="I84" s="133">
        <v>679.9373849999998</v>
      </c>
      <c r="J84" s="103" t="s">
        <v>27</v>
      </c>
      <c r="K84" s="109">
        <v>2900.0</v>
      </c>
      <c r="L84" s="109">
        <v>34.0</v>
      </c>
      <c r="M84" s="110">
        <f>0.3*0.31*0.64</f>
        <v>0.05952</v>
      </c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8.0" customHeight="1">
      <c r="A85" s="91"/>
      <c r="B85" s="56" t="s">
        <v>696</v>
      </c>
      <c r="C85" s="103">
        <v>1.5</v>
      </c>
      <c r="D85" s="104">
        <v>2.0</v>
      </c>
      <c r="E85" s="103">
        <v>8.0</v>
      </c>
      <c r="F85" s="104">
        <v>36.0</v>
      </c>
      <c r="G85" s="132" t="s">
        <v>693</v>
      </c>
      <c r="H85" s="107">
        <v>626.4009384809999</v>
      </c>
      <c r="I85" s="133">
        <v>737.8301099999998</v>
      </c>
      <c r="J85" s="103" t="s">
        <v>27</v>
      </c>
      <c r="K85" s="109">
        <v>2900.0</v>
      </c>
      <c r="L85" s="109">
        <v>40.0</v>
      </c>
      <c r="M85" s="110">
        <f>0.32*0.31*0.73</f>
        <v>0.072416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t="18.0" customHeight="1">
      <c r="A86" s="91"/>
      <c r="B86" s="56" t="s">
        <v>697</v>
      </c>
      <c r="C86" s="103">
        <v>2.2</v>
      </c>
      <c r="D86" s="104">
        <v>3.0</v>
      </c>
      <c r="E86" s="103">
        <v>8.0</v>
      </c>
      <c r="F86" s="104">
        <v>45.0</v>
      </c>
      <c r="G86" s="132" t="s">
        <v>693</v>
      </c>
      <c r="H86" s="107">
        <v>669.6319199220001</v>
      </c>
      <c r="I86" s="133">
        <v>781.3373699999999</v>
      </c>
      <c r="J86" s="103" t="s">
        <v>27</v>
      </c>
      <c r="K86" s="109">
        <v>2900.0</v>
      </c>
      <c r="L86" s="109">
        <v>44.0</v>
      </c>
      <c r="M86" s="110">
        <f>0.32*0.31*0.76</f>
        <v>0.075392</v>
      </c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t="18.0" customHeight="1">
      <c r="A87" s="91"/>
      <c r="B87" s="56" t="s">
        <v>698</v>
      </c>
      <c r="C87" s="103">
        <v>2.2</v>
      </c>
      <c r="D87" s="104">
        <v>3.0</v>
      </c>
      <c r="E87" s="103">
        <v>8.0</v>
      </c>
      <c r="F87" s="104">
        <v>54.0</v>
      </c>
      <c r="G87" s="132" t="s">
        <v>693</v>
      </c>
      <c r="H87" s="107">
        <v>688.4602012889999</v>
      </c>
      <c r="I87" s="133">
        <v>799.3484399999999</v>
      </c>
      <c r="J87" s="103" t="s">
        <v>27</v>
      </c>
      <c r="K87" s="109">
        <v>2900.0</v>
      </c>
      <c r="L87" s="109">
        <v>45.0</v>
      </c>
      <c r="M87" s="110">
        <f>0.32*0.31*0.79</f>
        <v>0.078368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t="18.0" customHeight="1">
      <c r="A88" s="91"/>
      <c r="B88" s="56" t="s">
        <v>699</v>
      </c>
      <c r="C88" s="103">
        <v>3.0</v>
      </c>
      <c r="D88" s="104">
        <v>4.0</v>
      </c>
      <c r="E88" s="103">
        <v>8.0</v>
      </c>
      <c r="F88" s="104">
        <v>73.0</v>
      </c>
      <c r="G88" s="132" t="s">
        <v>693</v>
      </c>
      <c r="H88" s="107">
        <v>827.2749216779998</v>
      </c>
      <c r="I88" s="133">
        <v>937.5892499999998</v>
      </c>
      <c r="J88" s="103" t="s">
        <v>27</v>
      </c>
      <c r="K88" s="109">
        <v>2900.0</v>
      </c>
      <c r="L88" s="109">
        <v>53.0</v>
      </c>
      <c r="M88" s="110">
        <f>0.33*0.31*0.91</f>
        <v>0.093093</v>
      </c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t="18.0" customHeight="1">
      <c r="A89" s="91"/>
      <c r="B89" s="56" t="s">
        <v>700</v>
      </c>
      <c r="C89" s="103">
        <v>4.0</v>
      </c>
      <c r="D89" s="104">
        <v>5.5</v>
      </c>
      <c r="E89" s="103">
        <v>8.0</v>
      </c>
      <c r="F89" s="104">
        <v>92.0</v>
      </c>
      <c r="G89" s="132" t="s">
        <v>693</v>
      </c>
      <c r="H89" s="107">
        <v>964.1795265659999</v>
      </c>
      <c r="I89" s="133">
        <v>1081.2099899999998</v>
      </c>
      <c r="J89" s="103" t="s">
        <v>27</v>
      </c>
      <c r="K89" s="109">
        <v>2900.0</v>
      </c>
      <c r="L89" s="109">
        <v>64.0</v>
      </c>
      <c r="M89" s="110">
        <f>0.35*0.31*0.98</f>
        <v>0.10633</v>
      </c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t="18.0" customHeight="1">
      <c r="A90" s="91"/>
      <c r="B90" s="56" t="s">
        <v>701</v>
      </c>
      <c r="C90" s="103">
        <v>4.0</v>
      </c>
      <c r="D90" s="104">
        <v>5.5</v>
      </c>
      <c r="E90" s="103">
        <v>8.0</v>
      </c>
      <c r="F90" s="104">
        <v>111.0</v>
      </c>
      <c r="G90" s="132" t="s">
        <v>693</v>
      </c>
      <c r="H90" s="107">
        <v>1002.8886019229999</v>
      </c>
      <c r="I90" s="133">
        <v>1119.610215</v>
      </c>
      <c r="J90" s="103" t="s">
        <v>27</v>
      </c>
      <c r="K90" s="109">
        <v>2900.0</v>
      </c>
      <c r="L90" s="109">
        <v>66.0</v>
      </c>
      <c r="M90" s="110">
        <f>0.35*0.31*1.04</f>
        <v>0.11284</v>
      </c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t="18.0" customHeight="1">
      <c r="A91" s="91"/>
      <c r="B91" s="56" t="s">
        <v>702</v>
      </c>
      <c r="C91" s="103">
        <v>5.5</v>
      </c>
      <c r="D91" s="104">
        <v>7.5</v>
      </c>
      <c r="E91" s="103">
        <v>8.0</v>
      </c>
      <c r="F91" s="104">
        <v>130.0</v>
      </c>
      <c r="G91" s="132" t="s">
        <v>693</v>
      </c>
      <c r="H91" s="107">
        <v>1290.9652050329998</v>
      </c>
      <c r="I91" s="133">
        <v>1408.29414</v>
      </c>
      <c r="J91" s="103" t="s">
        <v>27</v>
      </c>
      <c r="K91" s="109">
        <v>2900.0</v>
      </c>
      <c r="L91" s="109">
        <v>81.0</v>
      </c>
      <c r="M91" s="110">
        <f>0.37*0.31*1.16</f>
        <v>0.133052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t="18.0" customHeight="1">
      <c r="A92" s="91"/>
      <c r="B92" s="56" t="s">
        <v>703</v>
      </c>
      <c r="C92" s="103">
        <v>5.5</v>
      </c>
      <c r="D92" s="104">
        <v>7.5</v>
      </c>
      <c r="E92" s="103">
        <v>8.0</v>
      </c>
      <c r="F92" s="104">
        <v>148.0</v>
      </c>
      <c r="G92" s="132" t="s">
        <v>693</v>
      </c>
      <c r="H92" s="107">
        <v>1329.089551155</v>
      </c>
      <c r="I92" s="133">
        <v>1446.1095899999998</v>
      </c>
      <c r="J92" s="103" t="s">
        <v>27</v>
      </c>
      <c r="K92" s="109">
        <v>2900.0</v>
      </c>
      <c r="L92" s="109">
        <v>84.0</v>
      </c>
      <c r="M92" s="110">
        <f>0.37*0.31*1.22</f>
        <v>0.139934</v>
      </c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t="18.0" customHeight="1">
      <c r="A93" s="91"/>
      <c r="B93" s="56" t="s">
        <v>704</v>
      </c>
      <c r="C93" s="103">
        <v>7.5</v>
      </c>
      <c r="D93" s="104">
        <v>10.0</v>
      </c>
      <c r="E93" s="103">
        <v>8.0</v>
      </c>
      <c r="F93" s="104">
        <v>167.0</v>
      </c>
      <c r="G93" s="132" t="s">
        <v>693</v>
      </c>
      <c r="H93" s="107">
        <v>1445.1777952770003</v>
      </c>
      <c r="I93" s="133">
        <v>1562.479815</v>
      </c>
      <c r="J93" s="103" t="s">
        <v>27</v>
      </c>
      <c r="K93" s="109">
        <v>2900.0</v>
      </c>
      <c r="L93" s="109">
        <v>93.0</v>
      </c>
      <c r="M93" s="110">
        <f>0.37*0.31*1.28</f>
        <v>0.146816</v>
      </c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t="18.0" customHeight="1">
      <c r="A94" s="91"/>
      <c r="B94" s="56" t="s">
        <v>705</v>
      </c>
      <c r="C94" s="103">
        <v>7.5</v>
      </c>
      <c r="D94" s="104">
        <v>10.0</v>
      </c>
      <c r="E94" s="103">
        <v>8.0</v>
      </c>
      <c r="F94" s="104">
        <v>186.0</v>
      </c>
      <c r="G94" s="132" t="s">
        <v>693</v>
      </c>
      <c r="H94" s="107">
        <v>1482.4445385210001</v>
      </c>
      <c r="I94" s="133">
        <v>1600.3342499999997</v>
      </c>
      <c r="J94" s="103" t="s">
        <v>27</v>
      </c>
      <c r="K94" s="109">
        <v>2900.0</v>
      </c>
      <c r="L94" s="109">
        <v>94.0</v>
      </c>
      <c r="M94" s="110">
        <f>0.37*0.31*1.34</f>
        <v>0.153698</v>
      </c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t="18.0" customHeight="1">
      <c r="A95" s="91"/>
      <c r="B95" s="56" t="s">
        <v>706</v>
      </c>
      <c r="C95" s="103">
        <v>0.75</v>
      </c>
      <c r="D95" s="104">
        <v>1.0</v>
      </c>
      <c r="E95" s="103">
        <v>10.0</v>
      </c>
      <c r="F95" s="104">
        <v>7.0</v>
      </c>
      <c r="G95" s="132" t="s">
        <v>693</v>
      </c>
      <c r="H95" s="107">
        <v>504.231510315</v>
      </c>
      <c r="I95" s="133">
        <v>660.7957499999999</v>
      </c>
      <c r="J95" s="103" t="s">
        <v>27</v>
      </c>
      <c r="K95" s="109">
        <v>2900.0</v>
      </c>
      <c r="L95" s="109">
        <v>40.0</v>
      </c>
      <c r="M95" s="110">
        <f t="shared" ref="M95:M96" si="2">0.3*0.31*0.61</f>
        <v>0.05673</v>
      </c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t="18.0" customHeight="1">
      <c r="A96" s="91"/>
      <c r="B96" s="56" t="s">
        <v>707</v>
      </c>
      <c r="C96" s="103">
        <v>0.75</v>
      </c>
      <c r="D96" s="104">
        <v>1.0</v>
      </c>
      <c r="E96" s="103">
        <v>10.0</v>
      </c>
      <c r="F96" s="104">
        <v>15.0</v>
      </c>
      <c r="G96" s="132" t="s">
        <v>693</v>
      </c>
      <c r="H96" s="107">
        <v>504.231510315</v>
      </c>
      <c r="I96" s="133">
        <v>660.7957499999999</v>
      </c>
      <c r="J96" s="103" t="s">
        <v>27</v>
      </c>
      <c r="K96" s="109">
        <v>2900.0</v>
      </c>
      <c r="L96" s="109">
        <v>41.0</v>
      </c>
      <c r="M96" s="110">
        <f t="shared" si="2"/>
        <v>0.05673</v>
      </c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t="18.0" customHeight="1">
      <c r="A97" s="91"/>
      <c r="B97" s="56" t="s">
        <v>708</v>
      </c>
      <c r="C97" s="103">
        <v>1.1</v>
      </c>
      <c r="D97" s="104">
        <v>1.5</v>
      </c>
      <c r="E97" s="103">
        <v>10.0</v>
      </c>
      <c r="F97" s="104">
        <v>23.0</v>
      </c>
      <c r="G97" s="132" t="s">
        <v>693</v>
      </c>
      <c r="H97" s="107">
        <v>579.310744089</v>
      </c>
      <c r="I97" s="133">
        <v>693.2312699999999</v>
      </c>
      <c r="J97" s="103" t="s">
        <v>27</v>
      </c>
      <c r="K97" s="109">
        <v>2900.0</v>
      </c>
      <c r="L97" s="109">
        <v>43.0</v>
      </c>
      <c r="M97" s="110">
        <f>0.3*0.31*0.64</f>
        <v>0.05952</v>
      </c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t="18.0" customHeight="1">
      <c r="A98" s="91"/>
      <c r="B98" s="56" t="s">
        <v>709</v>
      </c>
      <c r="C98" s="103">
        <v>1.5</v>
      </c>
      <c r="D98" s="104">
        <v>2.0</v>
      </c>
      <c r="E98" s="103">
        <v>10.0</v>
      </c>
      <c r="F98" s="104">
        <v>31.0</v>
      </c>
      <c r="G98" s="132" t="s">
        <v>693</v>
      </c>
      <c r="H98" s="107">
        <v>638.875162161</v>
      </c>
      <c r="I98" s="133">
        <v>752.5274549999999</v>
      </c>
      <c r="J98" s="103" t="s">
        <v>27</v>
      </c>
      <c r="K98" s="109">
        <v>2900.0</v>
      </c>
      <c r="L98" s="109">
        <v>49.0</v>
      </c>
      <c r="M98" s="110">
        <f>0.32*0.31*0.73</f>
        <v>0.072416</v>
      </c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t="18.0" customHeight="1">
      <c r="A99" s="91"/>
      <c r="B99" s="56" t="s">
        <v>710</v>
      </c>
      <c r="C99" s="103">
        <v>2.2</v>
      </c>
      <c r="D99" s="104">
        <v>3.0</v>
      </c>
      <c r="E99" s="103">
        <v>10.0</v>
      </c>
      <c r="F99" s="104">
        <v>39.0</v>
      </c>
      <c r="G99" s="132" t="s">
        <v>693</v>
      </c>
      <c r="H99" s="107">
        <v>682.9247645309999</v>
      </c>
      <c r="I99" s="133">
        <v>796.8533999999999</v>
      </c>
      <c r="J99" s="103" t="s">
        <v>27</v>
      </c>
      <c r="K99" s="109">
        <v>2900.0</v>
      </c>
      <c r="L99" s="109">
        <v>53.0</v>
      </c>
      <c r="M99" s="110">
        <f>0.32*0.31*0.76</f>
        <v>0.075392</v>
      </c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t="18.0" customHeight="1">
      <c r="A100" s="91"/>
      <c r="B100" s="56" t="s">
        <v>711</v>
      </c>
      <c r="C100" s="103">
        <v>2.2</v>
      </c>
      <c r="D100" s="104">
        <v>3.0</v>
      </c>
      <c r="E100" s="103">
        <v>10.0</v>
      </c>
      <c r="F100" s="104">
        <v>48.0</v>
      </c>
      <c r="G100" s="132" t="s">
        <v>693</v>
      </c>
      <c r="H100" s="107">
        <v>702.2987931839999</v>
      </c>
      <c r="I100" s="133">
        <v>815.4102599999998</v>
      </c>
      <c r="J100" s="103" t="s">
        <v>27</v>
      </c>
      <c r="K100" s="109">
        <v>2900.0</v>
      </c>
      <c r="L100" s="109">
        <v>54.0</v>
      </c>
      <c r="M100" s="110">
        <f>0.32*0.31*0.79</f>
        <v>0.078368</v>
      </c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t="18.0" customHeight="1">
      <c r="A101" s="91"/>
      <c r="B101" s="56" t="s">
        <v>712</v>
      </c>
      <c r="C101" s="103">
        <v>3.0</v>
      </c>
      <c r="D101" s="104">
        <v>4.0</v>
      </c>
      <c r="E101" s="103">
        <v>10.0</v>
      </c>
      <c r="F101" s="104">
        <v>56.0</v>
      </c>
      <c r="G101" s="132" t="s">
        <v>693</v>
      </c>
      <c r="H101" s="107">
        <v>825.325824228</v>
      </c>
      <c r="I101" s="133">
        <v>937.5892499999998</v>
      </c>
      <c r="J101" s="103" t="s">
        <v>27</v>
      </c>
      <c r="K101" s="109">
        <v>2900.0</v>
      </c>
      <c r="L101" s="109">
        <v>64.0</v>
      </c>
      <c r="M101" s="110">
        <f>0.33*0.31*0.88</f>
        <v>0.090024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t="18.0" customHeight="1">
      <c r="A102" s="91"/>
      <c r="B102" s="56" t="s">
        <v>713</v>
      </c>
      <c r="C102" s="103">
        <v>3.0</v>
      </c>
      <c r="D102" s="104">
        <v>4.0</v>
      </c>
      <c r="E102" s="103">
        <v>10.0</v>
      </c>
      <c r="F102" s="104">
        <v>64.0</v>
      </c>
      <c r="G102" s="132" t="s">
        <v>693</v>
      </c>
      <c r="H102" s="107">
        <v>843.881231952</v>
      </c>
      <c r="I102" s="133">
        <v>956.1461099999998</v>
      </c>
      <c r="J102" s="103" t="s">
        <v>27</v>
      </c>
      <c r="K102" s="109">
        <v>2900.0</v>
      </c>
      <c r="L102" s="109">
        <v>65.0</v>
      </c>
      <c r="M102" s="110">
        <f>0.33*0.31*0.91</f>
        <v>0.093093</v>
      </c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ht="18.0" customHeight="1">
      <c r="A103" s="91"/>
      <c r="B103" s="56" t="s">
        <v>714</v>
      </c>
      <c r="C103" s="103">
        <v>3.0</v>
      </c>
      <c r="D103" s="104">
        <v>4.0</v>
      </c>
      <c r="E103" s="103">
        <v>10.0</v>
      </c>
      <c r="F103" s="104">
        <v>72.0</v>
      </c>
      <c r="G103" s="132" t="s">
        <v>693</v>
      </c>
      <c r="H103" s="107">
        <v>953.849310081</v>
      </c>
      <c r="I103" s="133">
        <v>1066.9804649999999</v>
      </c>
      <c r="J103" s="103" t="s">
        <v>27</v>
      </c>
      <c r="K103" s="109">
        <v>2900.0</v>
      </c>
      <c r="L103" s="109">
        <v>66.0</v>
      </c>
      <c r="M103" s="110">
        <f>0.33*0.31*0.94</f>
        <v>0.096162</v>
      </c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ht="18.0" customHeight="1">
      <c r="A104" s="91"/>
      <c r="B104" s="56" t="s">
        <v>715</v>
      </c>
      <c r="C104" s="103">
        <v>4.0</v>
      </c>
      <c r="D104" s="104">
        <v>5.5</v>
      </c>
      <c r="E104" s="103">
        <v>10.0</v>
      </c>
      <c r="F104" s="104">
        <v>80.0</v>
      </c>
      <c r="G104" s="132" t="s">
        <v>693</v>
      </c>
      <c r="H104" s="107">
        <v>983.3976274229998</v>
      </c>
      <c r="I104" s="133">
        <v>1102.9636199999998</v>
      </c>
      <c r="J104" s="103" t="s">
        <v>27</v>
      </c>
      <c r="K104" s="109">
        <v>2900.0</v>
      </c>
      <c r="L104" s="109">
        <v>74.0</v>
      </c>
      <c r="M104" s="110">
        <f>0.35*0.31*0.98</f>
        <v>0.10633</v>
      </c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ht="18.0" customHeight="1">
      <c r="A105" s="91"/>
      <c r="B105" s="56" t="s">
        <v>716</v>
      </c>
      <c r="C105" s="103">
        <v>4.0</v>
      </c>
      <c r="D105" s="104">
        <v>5.5</v>
      </c>
      <c r="E105" s="103">
        <v>10.0</v>
      </c>
      <c r="F105" s="104">
        <v>96.0</v>
      </c>
      <c r="G105" s="132" t="s">
        <v>693</v>
      </c>
      <c r="H105" s="107">
        <v>1022.652450066</v>
      </c>
      <c r="I105" s="133">
        <v>1141.9486199999997</v>
      </c>
      <c r="J105" s="103" t="s">
        <v>27</v>
      </c>
      <c r="K105" s="109">
        <v>2900.0</v>
      </c>
      <c r="L105" s="109">
        <v>76.0</v>
      </c>
      <c r="M105" s="110">
        <f>0.35*0.31*1.04</f>
        <v>0.11284</v>
      </c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ht="18.0" customHeight="1">
      <c r="A106" s="91"/>
      <c r="B106" s="56" t="s">
        <v>717</v>
      </c>
      <c r="C106" s="103">
        <v>5.5</v>
      </c>
      <c r="D106" s="104">
        <v>7.5</v>
      </c>
      <c r="E106" s="103">
        <v>10.0</v>
      </c>
      <c r="F106" s="104">
        <v>113.0</v>
      </c>
      <c r="G106" s="132" t="s">
        <v>693</v>
      </c>
      <c r="H106" s="107">
        <v>1316.6543094239998</v>
      </c>
      <c r="I106" s="133">
        <v>1436.5192799999998</v>
      </c>
      <c r="J106" s="103" t="s">
        <v>27</v>
      </c>
      <c r="K106" s="109">
        <v>2900.0</v>
      </c>
      <c r="L106" s="109">
        <v>100.0</v>
      </c>
      <c r="M106" s="110">
        <f>0.37*0.31*1.16</f>
        <v>0.133052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ht="18.0" customHeight="1">
      <c r="A107" s="91"/>
      <c r="B107" s="56" t="s">
        <v>718</v>
      </c>
      <c r="C107" s="103">
        <v>5.5</v>
      </c>
      <c r="D107" s="104">
        <v>7.5</v>
      </c>
      <c r="E107" s="103">
        <v>10.0</v>
      </c>
      <c r="F107" s="104">
        <v>129.0</v>
      </c>
      <c r="G107" s="132" t="s">
        <v>693</v>
      </c>
      <c r="H107" s="107">
        <v>1355.636258424</v>
      </c>
      <c r="I107" s="133">
        <v>1475.2313849999996</v>
      </c>
      <c r="J107" s="103" t="s">
        <v>27</v>
      </c>
      <c r="K107" s="109">
        <v>2900.0</v>
      </c>
      <c r="L107" s="109">
        <v>102.0</v>
      </c>
      <c r="M107" s="110">
        <f>0.37*0.31*1.22</f>
        <v>0.139934</v>
      </c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ht="18.0" customHeight="1">
      <c r="A108" s="91"/>
      <c r="B108" s="56" t="s">
        <v>719</v>
      </c>
      <c r="C108" s="103">
        <v>7.5</v>
      </c>
      <c r="D108" s="104">
        <v>10.0</v>
      </c>
      <c r="E108" s="103">
        <v>10.0</v>
      </c>
      <c r="F108" s="104">
        <v>145.0</v>
      </c>
      <c r="G108" s="132" t="s">
        <v>693</v>
      </c>
      <c r="H108" s="107">
        <v>1473.9854555880001</v>
      </c>
      <c r="I108" s="133">
        <v>1593.8627399999996</v>
      </c>
      <c r="J108" s="103" t="s">
        <v>27</v>
      </c>
      <c r="K108" s="109">
        <v>2900.0</v>
      </c>
      <c r="L108" s="109">
        <v>107.0</v>
      </c>
      <c r="M108" s="110">
        <f>0.37*0.31*1.28</f>
        <v>0.146816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ht="18.0" customHeight="1">
      <c r="A109" s="91"/>
      <c r="B109" s="56" t="s">
        <v>720</v>
      </c>
      <c r="C109" s="103">
        <v>7.5</v>
      </c>
      <c r="D109" s="104">
        <v>10.0</v>
      </c>
      <c r="E109" s="103">
        <v>10.0</v>
      </c>
      <c r="F109" s="104">
        <v>162.0</v>
      </c>
      <c r="G109" s="132" t="s">
        <v>693</v>
      </c>
      <c r="H109" s="107">
        <v>1512.1098017099998</v>
      </c>
      <c r="I109" s="133">
        <v>1632.2629649999994</v>
      </c>
      <c r="J109" s="103" t="s">
        <v>27</v>
      </c>
      <c r="K109" s="109">
        <v>2900.0</v>
      </c>
      <c r="L109" s="109">
        <v>109.0</v>
      </c>
      <c r="M109" s="110">
        <f>0.37*0.31*1.34</f>
        <v>0.153698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ht="18.0" customHeight="1">
      <c r="A110" s="91"/>
      <c r="B110" s="56" t="s">
        <v>721</v>
      </c>
      <c r="C110" s="103">
        <v>7.5</v>
      </c>
      <c r="D110" s="104">
        <v>10.0</v>
      </c>
      <c r="E110" s="103">
        <v>10.0</v>
      </c>
      <c r="F110" s="104">
        <v>178.0</v>
      </c>
      <c r="G110" s="132" t="s">
        <v>693</v>
      </c>
      <c r="H110" s="107">
        <v>1549.3765449539999</v>
      </c>
      <c r="I110" s="133">
        <v>1673.1972149999997</v>
      </c>
      <c r="J110" s="103" t="s">
        <v>27</v>
      </c>
      <c r="K110" s="109">
        <v>2900.0</v>
      </c>
      <c r="L110" s="109">
        <v>111.0</v>
      </c>
      <c r="M110" s="110">
        <f>0.37*0.31*1.4</f>
        <v>0.16058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ht="18.0" customHeight="1">
      <c r="A111" s="91"/>
      <c r="B111" s="56" t="s">
        <v>722</v>
      </c>
      <c r="C111" s="103">
        <v>1.5</v>
      </c>
      <c r="D111" s="104">
        <v>2.0</v>
      </c>
      <c r="E111" s="103">
        <v>12.0</v>
      </c>
      <c r="F111" s="104">
        <v>20.0</v>
      </c>
      <c r="G111" s="132" t="s">
        <v>723</v>
      </c>
      <c r="H111" s="107">
        <v>608.1184044</v>
      </c>
      <c r="I111" s="133">
        <v>717.3239999999998</v>
      </c>
      <c r="J111" s="103" t="s">
        <v>27</v>
      </c>
      <c r="K111" s="109">
        <v>2900.0</v>
      </c>
      <c r="L111" s="109">
        <v>39.0</v>
      </c>
      <c r="M111" s="110">
        <f>0.33*0.31*0.68</f>
        <v>0.069564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ht="18.0" customHeight="1">
      <c r="A112" s="91"/>
      <c r="B112" s="56" t="s">
        <v>724</v>
      </c>
      <c r="C112" s="103">
        <v>2.2</v>
      </c>
      <c r="D112" s="104">
        <v>3.0</v>
      </c>
      <c r="E112" s="103">
        <v>12.0</v>
      </c>
      <c r="F112" s="104">
        <v>30.0</v>
      </c>
      <c r="G112" s="132" t="s">
        <v>723</v>
      </c>
      <c r="H112" s="107">
        <v>653.259501342</v>
      </c>
      <c r="I112" s="133">
        <v>762.1957349999998</v>
      </c>
      <c r="J112" s="103" t="s">
        <v>27</v>
      </c>
      <c r="K112" s="109">
        <v>2900.0</v>
      </c>
      <c r="L112" s="109">
        <v>43.0</v>
      </c>
      <c r="M112" s="110">
        <f>0.33*0.31*0.71</f>
        <v>0.072633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ht="18.0" customHeight="1">
      <c r="A113" s="91"/>
      <c r="B113" s="56" t="s">
        <v>725</v>
      </c>
      <c r="C113" s="103">
        <v>3.0</v>
      </c>
      <c r="D113" s="104">
        <v>4.0</v>
      </c>
      <c r="E113" s="103">
        <v>12.0</v>
      </c>
      <c r="F113" s="104">
        <v>40.0</v>
      </c>
      <c r="G113" s="132" t="s">
        <v>723</v>
      </c>
      <c r="H113" s="107">
        <v>754.3786770479999</v>
      </c>
      <c r="I113" s="133">
        <v>862.2312449999998</v>
      </c>
      <c r="J113" s="103" t="s">
        <v>27</v>
      </c>
      <c r="K113" s="109">
        <v>2900.0</v>
      </c>
      <c r="L113" s="109">
        <v>51.0</v>
      </c>
      <c r="M113" s="110">
        <f>0.34*0.31*0.8</f>
        <v>0.08432</v>
      </c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ht="18.0" customHeight="1">
      <c r="A114" s="91"/>
      <c r="B114" s="56" t="s">
        <v>726</v>
      </c>
      <c r="C114" s="103">
        <v>3.0</v>
      </c>
      <c r="D114" s="104">
        <v>4.0</v>
      </c>
      <c r="E114" s="103">
        <v>12.0</v>
      </c>
      <c r="F114" s="104">
        <v>50.0</v>
      </c>
      <c r="G114" s="132" t="s">
        <v>723</v>
      </c>
      <c r="H114" s="107">
        <v>772.661211129</v>
      </c>
      <c r="I114" s="133">
        <v>880.5152099999998</v>
      </c>
      <c r="J114" s="103" t="s">
        <v>27</v>
      </c>
      <c r="K114" s="109">
        <v>2900.0</v>
      </c>
      <c r="L114" s="109">
        <v>53.0</v>
      </c>
      <c r="M114" s="110">
        <f>0.34*0.31*0.83</f>
        <v>0.087482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ht="18.0" customHeight="1">
      <c r="A115" s="91"/>
      <c r="B115" s="56" t="s">
        <v>727</v>
      </c>
      <c r="C115" s="103">
        <v>4.0</v>
      </c>
      <c r="D115" s="104">
        <v>5.5</v>
      </c>
      <c r="E115" s="103">
        <v>12.0</v>
      </c>
      <c r="F115" s="104">
        <v>60.0</v>
      </c>
      <c r="G115" s="132" t="s">
        <v>723</v>
      </c>
      <c r="H115" s="107">
        <v>853.7826469979998</v>
      </c>
      <c r="I115" s="133">
        <v>962.8515299999999</v>
      </c>
      <c r="J115" s="103" t="s">
        <v>27</v>
      </c>
      <c r="K115" s="109">
        <v>2900.0</v>
      </c>
      <c r="L115" s="109">
        <v>61.0</v>
      </c>
      <c r="M115" s="110">
        <f>0.36*0.31*0.87</f>
        <v>0.097092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ht="18.0" customHeight="1">
      <c r="A116" s="91"/>
      <c r="B116" s="56" t="s">
        <v>728</v>
      </c>
      <c r="C116" s="103">
        <v>5.5</v>
      </c>
      <c r="D116" s="104">
        <v>7.5</v>
      </c>
      <c r="E116" s="103">
        <v>12.0</v>
      </c>
      <c r="F116" s="104">
        <v>70.0</v>
      </c>
      <c r="G116" s="132" t="s">
        <v>723</v>
      </c>
      <c r="H116" s="107">
        <v>1131.1002321839999</v>
      </c>
      <c r="I116" s="133">
        <v>1241.9061599999998</v>
      </c>
      <c r="J116" s="103" t="s">
        <v>27</v>
      </c>
      <c r="K116" s="109">
        <v>2900.0</v>
      </c>
      <c r="L116" s="109">
        <v>73.0</v>
      </c>
      <c r="M116" s="110">
        <f>0.38*0.31*0.96</f>
        <v>0.113088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ht="18.0" customHeight="1">
      <c r="A117" s="91"/>
      <c r="B117" s="56" t="s">
        <v>729</v>
      </c>
      <c r="C117" s="103">
        <v>5.5</v>
      </c>
      <c r="D117" s="104">
        <v>7.5</v>
      </c>
      <c r="E117" s="103">
        <v>12.0</v>
      </c>
      <c r="F117" s="104">
        <v>80.0</v>
      </c>
      <c r="G117" s="132" t="s">
        <v>723</v>
      </c>
      <c r="H117" s="107">
        <v>1147.7845063559998</v>
      </c>
      <c r="I117" s="133">
        <v>1258.5917399999998</v>
      </c>
      <c r="J117" s="103" t="s">
        <v>27</v>
      </c>
      <c r="K117" s="109">
        <v>2900.0</v>
      </c>
      <c r="L117" s="109">
        <v>74.0</v>
      </c>
      <c r="M117" s="110">
        <f>0.38*0.31*0.99</f>
        <v>0.116622</v>
      </c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ht="18.0" customHeight="1">
      <c r="A118" s="91"/>
      <c r="B118" s="56" t="s">
        <v>730</v>
      </c>
      <c r="C118" s="103">
        <v>5.5</v>
      </c>
      <c r="D118" s="104">
        <v>7.5</v>
      </c>
      <c r="E118" s="103">
        <v>12.0</v>
      </c>
      <c r="F118" s="104">
        <v>91.0</v>
      </c>
      <c r="G118" s="132" t="s">
        <v>723</v>
      </c>
      <c r="H118" s="107">
        <v>1166.417877978</v>
      </c>
      <c r="I118" s="133">
        <v>1275.5112299999998</v>
      </c>
      <c r="J118" s="103" t="s">
        <v>27</v>
      </c>
      <c r="K118" s="109">
        <v>2900.0</v>
      </c>
      <c r="L118" s="109">
        <v>76.0</v>
      </c>
      <c r="M118" s="110">
        <f>0.38*0.31*1.02</f>
        <v>0.120156</v>
      </c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ht="18.0" customHeight="1">
      <c r="A119" s="91"/>
      <c r="B119" s="56" t="s">
        <v>731</v>
      </c>
      <c r="C119" s="103">
        <v>7.5</v>
      </c>
      <c r="D119" s="104">
        <v>10.0</v>
      </c>
      <c r="E119" s="103">
        <v>12.0</v>
      </c>
      <c r="F119" s="104">
        <v>101.0</v>
      </c>
      <c r="G119" s="132" t="s">
        <v>723</v>
      </c>
      <c r="H119" s="107">
        <v>1238.729393373</v>
      </c>
      <c r="I119" s="133">
        <v>1349.81664</v>
      </c>
      <c r="J119" s="103" t="s">
        <v>27</v>
      </c>
      <c r="K119" s="109">
        <v>2900.0</v>
      </c>
      <c r="L119" s="109">
        <v>83.0</v>
      </c>
      <c r="M119" s="110">
        <f>0.38*0.31*1.05</f>
        <v>0.12369</v>
      </c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ht="18.0" customHeight="1">
      <c r="A120" s="91"/>
      <c r="B120" s="56" t="s">
        <v>732</v>
      </c>
      <c r="C120" s="103">
        <v>7.5</v>
      </c>
      <c r="D120" s="104">
        <v>10.0</v>
      </c>
      <c r="E120" s="103">
        <v>12.0</v>
      </c>
      <c r="F120" s="104">
        <v>121.0</v>
      </c>
      <c r="G120" s="132" t="s">
        <v>723</v>
      </c>
      <c r="H120" s="107">
        <v>1277.6723604239996</v>
      </c>
      <c r="I120" s="133">
        <v>1388.80164</v>
      </c>
      <c r="J120" s="103" t="s">
        <v>27</v>
      </c>
      <c r="K120" s="109">
        <v>2900.0</v>
      </c>
      <c r="L120" s="109">
        <v>87.0</v>
      </c>
      <c r="M120" s="110">
        <f>0.38*0.31*1.11</f>
        <v>0.130758</v>
      </c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ht="18.0" customHeight="1">
      <c r="A121" s="91"/>
      <c r="B121" s="56" t="s">
        <v>733</v>
      </c>
      <c r="C121" s="103">
        <v>11.0</v>
      </c>
      <c r="D121" s="104">
        <v>15.0</v>
      </c>
      <c r="E121" s="103">
        <v>12.0</v>
      </c>
      <c r="F121" s="104">
        <v>141.0</v>
      </c>
      <c r="G121" s="132" t="s">
        <v>723</v>
      </c>
      <c r="H121" s="107">
        <v>1905.515631018</v>
      </c>
      <c r="I121" s="133">
        <v>2016.1092749999996</v>
      </c>
      <c r="J121" s="103" t="s">
        <v>27</v>
      </c>
      <c r="K121" s="109">
        <v>2900.0</v>
      </c>
      <c r="L121" s="109">
        <v>157.0</v>
      </c>
      <c r="M121" s="110">
        <f>0.43*0.31*1.37</f>
        <v>0.182621</v>
      </c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ht="18.0" customHeight="1">
      <c r="A122" s="91"/>
      <c r="B122" s="56" t="s">
        <v>734</v>
      </c>
      <c r="C122" s="103">
        <v>11.0</v>
      </c>
      <c r="D122" s="104">
        <v>15.0</v>
      </c>
      <c r="E122" s="103">
        <v>12.0</v>
      </c>
      <c r="F122" s="104">
        <v>162.0</v>
      </c>
      <c r="G122" s="132" t="s">
        <v>723</v>
      </c>
      <c r="H122" s="107">
        <v>1942.5095006190002</v>
      </c>
      <c r="I122" s="133">
        <v>2053.3789349999997</v>
      </c>
      <c r="J122" s="103" t="s">
        <v>27</v>
      </c>
      <c r="K122" s="109">
        <v>2900.0</v>
      </c>
      <c r="L122" s="109">
        <v>161.0</v>
      </c>
      <c r="M122" s="110">
        <f>0.43*0.31*1.43</f>
        <v>0.190619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ht="18.0" customHeight="1">
      <c r="A123" s="91"/>
      <c r="B123" s="56" t="s">
        <v>735</v>
      </c>
      <c r="C123" s="103">
        <v>11.0</v>
      </c>
      <c r="D123" s="104">
        <v>15.0</v>
      </c>
      <c r="E123" s="103">
        <v>12.0</v>
      </c>
      <c r="F123" s="104">
        <v>183.0</v>
      </c>
      <c r="G123" s="132" t="s">
        <v>723</v>
      </c>
      <c r="H123" s="107">
        <v>2002.385774283</v>
      </c>
      <c r="I123" s="133">
        <v>2112.9869999999996</v>
      </c>
      <c r="J123" s="103" t="s">
        <v>27</v>
      </c>
      <c r="K123" s="109">
        <v>2900.0</v>
      </c>
      <c r="L123" s="109">
        <v>164.0</v>
      </c>
      <c r="M123" s="110">
        <f>0.43*0.31*1.49</f>
        <v>0.198617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ht="18.0" customHeight="1">
      <c r="A124" s="91"/>
      <c r="B124" s="56" t="s">
        <v>736</v>
      </c>
      <c r="C124" s="103">
        <v>2.2</v>
      </c>
      <c r="D124" s="104">
        <v>3.0</v>
      </c>
      <c r="E124" s="103">
        <v>16.0</v>
      </c>
      <c r="F124" s="104">
        <v>22.0</v>
      </c>
      <c r="G124" s="132" t="s">
        <v>723</v>
      </c>
      <c r="H124" s="107">
        <v>623.360346459</v>
      </c>
      <c r="I124" s="133">
        <v>728.6686349999999</v>
      </c>
      <c r="J124" s="103" t="s">
        <v>27</v>
      </c>
      <c r="K124" s="109">
        <v>2900.0</v>
      </c>
      <c r="L124" s="109">
        <v>42.0</v>
      </c>
      <c r="M124" s="110">
        <f>0.33*0.31*0.71</f>
        <v>0.072633</v>
      </c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ht="18.0" customHeight="1">
      <c r="A125" s="91"/>
      <c r="B125" s="56" t="s">
        <v>737</v>
      </c>
      <c r="C125" s="103">
        <v>3.0</v>
      </c>
      <c r="D125" s="104">
        <v>4.0</v>
      </c>
      <c r="E125" s="103">
        <v>16.0</v>
      </c>
      <c r="F125" s="104">
        <v>34.0</v>
      </c>
      <c r="G125" s="132" t="s">
        <v>723</v>
      </c>
      <c r="H125" s="107">
        <v>726.9743669009999</v>
      </c>
      <c r="I125" s="133">
        <v>830.6533949999998</v>
      </c>
      <c r="J125" s="103" t="s">
        <v>27</v>
      </c>
      <c r="K125" s="109">
        <v>2900.0</v>
      </c>
      <c r="L125" s="109">
        <v>50.0</v>
      </c>
      <c r="M125" s="110">
        <f>0.34*0.31*0.82</f>
        <v>0.086428</v>
      </c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ht="18.0" customHeight="1">
      <c r="A126" s="91"/>
      <c r="B126" s="56" t="s">
        <v>738</v>
      </c>
      <c r="C126" s="103">
        <v>4.0</v>
      </c>
      <c r="D126" s="104">
        <v>5.5</v>
      </c>
      <c r="E126" s="103">
        <v>16.0</v>
      </c>
      <c r="F126" s="104">
        <v>46.0</v>
      </c>
      <c r="G126" s="132" t="s">
        <v>723</v>
      </c>
      <c r="H126" s="107">
        <v>810.551665557</v>
      </c>
      <c r="I126" s="133">
        <v>915.9915599999997</v>
      </c>
      <c r="J126" s="103" t="s">
        <v>27</v>
      </c>
      <c r="K126" s="109">
        <v>2900.0</v>
      </c>
      <c r="L126" s="109">
        <v>59.0</v>
      </c>
      <c r="M126" s="110">
        <f>0.36*0.31*0.87</f>
        <v>0.097092</v>
      </c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ht="18.0" customHeight="1">
      <c r="A127" s="91"/>
      <c r="B127" s="56" t="s">
        <v>739</v>
      </c>
      <c r="C127" s="103">
        <v>5.5</v>
      </c>
      <c r="D127" s="104">
        <v>7.5</v>
      </c>
      <c r="E127" s="103">
        <v>16.0</v>
      </c>
      <c r="F127" s="104">
        <v>58.0</v>
      </c>
      <c r="G127" s="132" t="s">
        <v>723</v>
      </c>
      <c r="H127" s="107">
        <v>1063.8953521079998</v>
      </c>
      <c r="I127" s="133">
        <v>1169.3160899999998</v>
      </c>
      <c r="J127" s="103" t="s">
        <v>27</v>
      </c>
      <c r="K127" s="109">
        <v>2900.0</v>
      </c>
      <c r="L127" s="109">
        <v>76.0</v>
      </c>
      <c r="M127" s="110">
        <f>0.38*0.31*0.97</f>
        <v>0.114266</v>
      </c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ht="18.0" customHeight="1">
      <c r="A128" s="91"/>
      <c r="B128" s="56" t="s">
        <v>740</v>
      </c>
      <c r="C128" s="103">
        <v>5.5</v>
      </c>
      <c r="D128" s="104">
        <v>7.5</v>
      </c>
      <c r="E128" s="103">
        <v>16.0</v>
      </c>
      <c r="F128" s="104">
        <v>70.0</v>
      </c>
      <c r="G128" s="132" t="s">
        <v>723</v>
      </c>
      <c r="H128" s="107">
        <v>1107.399207192</v>
      </c>
      <c r="I128" s="133">
        <v>1213.0962449999997</v>
      </c>
      <c r="J128" s="103" t="s">
        <v>27</v>
      </c>
      <c r="K128" s="109">
        <v>2900.0</v>
      </c>
      <c r="L128" s="109">
        <v>77.0</v>
      </c>
      <c r="M128" s="110">
        <f>0.38*0.31*1.02</f>
        <v>0.120156</v>
      </c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ht="18.0" customHeight="1">
      <c r="A129" s="91"/>
      <c r="B129" s="56" t="s">
        <v>741</v>
      </c>
      <c r="C129" s="103">
        <v>7.5</v>
      </c>
      <c r="D129" s="104">
        <v>10.0</v>
      </c>
      <c r="E129" s="103">
        <v>16.0</v>
      </c>
      <c r="F129" s="104">
        <v>82.0</v>
      </c>
      <c r="G129" s="132" t="s">
        <v>723</v>
      </c>
      <c r="H129" s="107">
        <v>1183.3750257929998</v>
      </c>
      <c r="I129" s="133">
        <v>1289.3509049999998</v>
      </c>
      <c r="J129" s="103" t="s">
        <v>27</v>
      </c>
      <c r="K129" s="109">
        <v>2900.0</v>
      </c>
      <c r="L129" s="109">
        <v>84.0</v>
      </c>
      <c r="M129" s="110">
        <f>0.38*0.31*1.06</f>
        <v>0.124868</v>
      </c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ht="18.0" customHeight="1">
      <c r="A130" s="91"/>
      <c r="B130" s="56" t="s">
        <v>742</v>
      </c>
      <c r="C130" s="103">
        <v>7.5</v>
      </c>
      <c r="D130" s="104">
        <v>10.0</v>
      </c>
      <c r="E130" s="103">
        <v>16.0</v>
      </c>
      <c r="F130" s="104">
        <v>94.0</v>
      </c>
      <c r="G130" s="132" t="s">
        <v>723</v>
      </c>
      <c r="H130" s="107">
        <v>1207.0760507849998</v>
      </c>
      <c r="I130" s="133">
        <v>1313.0927699999995</v>
      </c>
      <c r="J130" s="103" t="s">
        <v>27</v>
      </c>
      <c r="K130" s="109">
        <v>2900.0</v>
      </c>
      <c r="L130" s="109">
        <v>86.0</v>
      </c>
      <c r="M130" s="110">
        <f>0.38*0.31*1.11</f>
        <v>0.130758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ht="18.0" customHeight="1">
      <c r="A131" s="91"/>
      <c r="B131" s="56" t="s">
        <v>743</v>
      </c>
      <c r="C131" s="103">
        <v>11.0</v>
      </c>
      <c r="D131" s="104">
        <v>15.0</v>
      </c>
      <c r="E131" s="103">
        <v>16.0</v>
      </c>
      <c r="F131" s="104">
        <v>118.0</v>
      </c>
      <c r="G131" s="132" t="s">
        <v>723</v>
      </c>
      <c r="H131" s="107">
        <v>1821.080729484</v>
      </c>
      <c r="I131" s="133">
        <v>1926.5607299999997</v>
      </c>
      <c r="J131" s="103" t="s">
        <v>27</v>
      </c>
      <c r="K131" s="109">
        <v>2900.0</v>
      </c>
      <c r="L131" s="109">
        <v>158.0</v>
      </c>
      <c r="M131" s="110">
        <f>0.43*0.31*1.4</f>
        <v>0.18662</v>
      </c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ht="18.0" customHeight="1">
      <c r="A132" s="91"/>
      <c r="B132" s="56" t="s">
        <v>744</v>
      </c>
      <c r="C132" s="103">
        <v>11.0</v>
      </c>
      <c r="D132" s="104">
        <v>15.0</v>
      </c>
      <c r="E132" s="103">
        <v>16.0</v>
      </c>
      <c r="F132" s="104">
        <v>141.0</v>
      </c>
      <c r="G132" s="132" t="s">
        <v>723</v>
      </c>
      <c r="H132" s="107">
        <v>1869.067508703</v>
      </c>
      <c r="I132" s="133">
        <v>1974.5902499999997</v>
      </c>
      <c r="J132" s="103" t="s">
        <v>27</v>
      </c>
      <c r="K132" s="109">
        <v>2900.0</v>
      </c>
      <c r="L132" s="109">
        <v>161.0</v>
      </c>
      <c r="M132" s="110">
        <f>0.43*0.31*1.49</f>
        <v>0.198617</v>
      </c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ht="18.0" customHeight="1">
      <c r="A133" s="91"/>
      <c r="B133" s="56" t="s">
        <v>745</v>
      </c>
      <c r="C133" s="103">
        <v>15.0</v>
      </c>
      <c r="D133" s="104">
        <v>20.0</v>
      </c>
      <c r="E133" s="103">
        <v>16.0</v>
      </c>
      <c r="F133" s="104">
        <v>166.0</v>
      </c>
      <c r="G133" s="132" t="s">
        <v>723</v>
      </c>
      <c r="H133" s="107">
        <v>1995.8757887999998</v>
      </c>
      <c r="I133" s="133">
        <v>2101.6813499999994</v>
      </c>
      <c r="J133" s="103" t="s">
        <v>27</v>
      </c>
      <c r="K133" s="109">
        <v>2900.0</v>
      </c>
      <c r="L133" s="109">
        <v>174.0</v>
      </c>
      <c r="M133" s="110">
        <f>0.43*0.31*1.58</f>
        <v>0.210614</v>
      </c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ht="18.0" customHeight="1">
      <c r="A134" s="91"/>
      <c r="B134" s="56" t="s">
        <v>746</v>
      </c>
      <c r="C134" s="103">
        <v>15.0</v>
      </c>
      <c r="D134" s="104">
        <v>20.0</v>
      </c>
      <c r="E134" s="103">
        <v>16.0</v>
      </c>
      <c r="F134" s="104">
        <v>189.0</v>
      </c>
      <c r="G134" s="132" t="s">
        <v>723</v>
      </c>
      <c r="H134" s="107">
        <v>2047.565853174</v>
      </c>
      <c r="I134" s="133">
        <v>2153.9212499999994</v>
      </c>
      <c r="J134" s="103" t="s">
        <v>27</v>
      </c>
      <c r="K134" s="109">
        <v>2900.0</v>
      </c>
      <c r="L134" s="109">
        <v>178.0</v>
      </c>
      <c r="M134" s="110">
        <f>0.43*0.31*1.67</f>
        <v>0.222611</v>
      </c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ht="18.0" customHeight="1">
      <c r="A135" s="91"/>
      <c r="B135" s="56" t="s">
        <v>747</v>
      </c>
      <c r="C135" s="103">
        <v>1.1</v>
      </c>
      <c r="D135" s="104">
        <v>1.5</v>
      </c>
      <c r="E135" s="103">
        <v>20.0</v>
      </c>
      <c r="F135" s="104">
        <v>10.0</v>
      </c>
      <c r="G135" s="132" t="s">
        <v>723</v>
      </c>
      <c r="H135" s="107">
        <v>484.81849971300005</v>
      </c>
      <c r="I135" s="133">
        <v>561.6179099999999</v>
      </c>
      <c r="J135" s="103" t="s">
        <v>27</v>
      </c>
      <c r="K135" s="109">
        <v>2900.0</v>
      </c>
      <c r="L135" s="109">
        <v>33.0</v>
      </c>
      <c r="M135" s="110">
        <f>0.32*0.31*0.65</f>
        <v>0.06448</v>
      </c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ht="18.0" customHeight="1">
      <c r="A136" s="91"/>
      <c r="B136" s="56" t="s">
        <v>748</v>
      </c>
      <c r="C136" s="103">
        <v>2.2</v>
      </c>
      <c r="D136" s="104">
        <v>3.0</v>
      </c>
      <c r="E136" s="103">
        <v>20.0</v>
      </c>
      <c r="F136" s="104">
        <v>23.0</v>
      </c>
      <c r="G136" s="132" t="s">
        <v>723</v>
      </c>
      <c r="H136" s="107">
        <v>652.1680067699999</v>
      </c>
      <c r="I136" s="133">
        <v>762.1957349999998</v>
      </c>
      <c r="J136" s="103" t="s">
        <v>27</v>
      </c>
      <c r="K136" s="109">
        <v>2900.0</v>
      </c>
      <c r="L136" s="109">
        <v>42.0</v>
      </c>
      <c r="M136" s="110">
        <f>0.33*0.31*0.71</f>
        <v>0.072633</v>
      </c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ht="18.0" customHeight="1">
      <c r="A137" s="91"/>
      <c r="B137" s="56" t="s">
        <v>749</v>
      </c>
      <c r="C137" s="103">
        <v>4.0</v>
      </c>
      <c r="D137" s="104">
        <v>5.5</v>
      </c>
      <c r="E137" s="103">
        <v>20.0</v>
      </c>
      <c r="F137" s="104">
        <v>35.0</v>
      </c>
      <c r="G137" s="132" t="s">
        <v>723</v>
      </c>
      <c r="H137" s="107">
        <v>820.9988278889999</v>
      </c>
      <c r="I137" s="133">
        <v>930.6499199999997</v>
      </c>
      <c r="J137" s="103" t="s">
        <v>27</v>
      </c>
      <c r="K137" s="109">
        <v>2900.0</v>
      </c>
      <c r="L137" s="109">
        <v>58.0</v>
      </c>
      <c r="M137" s="110">
        <f>0.36*0.31*0.83</f>
        <v>0.092628</v>
      </c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ht="18.0" customHeight="1">
      <c r="A138" s="91"/>
      <c r="B138" s="56" t="s">
        <v>750</v>
      </c>
      <c r="C138" s="103">
        <v>5.5</v>
      </c>
      <c r="D138" s="104">
        <v>7.5</v>
      </c>
      <c r="E138" s="103">
        <v>20.0</v>
      </c>
      <c r="F138" s="104">
        <v>47.0</v>
      </c>
      <c r="G138" s="132" t="s">
        <v>723</v>
      </c>
      <c r="H138" s="107">
        <v>1084.7896767720001</v>
      </c>
      <c r="I138" s="133">
        <v>1195.8648749999998</v>
      </c>
      <c r="J138" s="103" t="s">
        <v>27</v>
      </c>
      <c r="K138" s="109">
        <v>2900.0</v>
      </c>
      <c r="L138" s="109">
        <v>74.0</v>
      </c>
      <c r="M138" s="110">
        <f>0.38*0.31*0.93</f>
        <v>0.109554</v>
      </c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ht="18.0" customHeight="1">
      <c r="A139" s="91"/>
      <c r="B139" s="56" t="s">
        <v>751</v>
      </c>
      <c r="C139" s="103">
        <v>5.5</v>
      </c>
      <c r="D139" s="104">
        <v>7.5</v>
      </c>
      <c r="E139" s="103">
        <v>20.0</v>
      </c>
      <c r="F139" s="104">
        <v>58.0</v>
      </c>
      <c r="G139" s="132" t="s">
        <v>723</v>
      </c>
      <c r="H139" s="107">
        <v>1110.790636755</v>
      </c>
      <c r="I139" s="133">
        <v>1221.8678699999996</v>
      </c>
      <c r="J139" s="103" t="s">
        <v>27</v>
      </c>
      <c r="K139" s="109">
        <v>2900.0</v>
      </c>
      <c r="L139" s="109">
        <v>76.0</v>
      </c>
      <c r="M139" s="110">
        <f>0.38*0.31*0.97</f>
        <v>0.114266</v>
      </c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ht="18.0" customHeight="1">
      <c r="A140" s="91"/>
      <c r="B140" s="56" t="s">
        <v>752</v>
      </c>
      <c r="C140" s="103">
        <v>7.5</v>
      </c>
      <c r="D140" s="104">
        <v>10.0</v>
      </c>
      <c r="E140" s="103">
        <v>20.0</v>
      </c>
      <c r="F140" s="104">
        <v>70.0</v>
      </c>
      <c r="G140" s="132" t="s">
        <v>723</v>
      </c>
      <c r="H140" s="107">
        <v>1211.052209583</v>
      </c>
      <c r="I140" s="133">
        <v>1322.68308</v>
      </c>
      <c r="J140" s="103" t="s">
        <v>27</v>
      </c>
      <c r="K140" s="109">
        <v>2900.0</v>
      </c>
      <c r="L140" s="109">
        <v>82.0</v>
      </c>
      <c r="M140" s="110">
        <f>0.38*0.31*1.02</f>
        <v>0.120156</v>
      </c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ht="18.0" customHeight="1">
      <c r="A141" s="91"/>
      <c r="B141" s="56" t="s">
        <v>753</v>
      </c>
      <c r="C141" s="103">
        <v>7.5</v>
      </c>
      <c r="D141" s="104">
        <v>10.0</v>
      </c>
      <c r="E141" s="103">
        <v>20.0</v>
      </c>
      <c r="F141" s="104">
        <v>82.0</v>
      </c>
      <c r="G141" s="132" t="s">
        <v>723</v>
      </c>
      <c r="H141" s="107">
        <v>1238.1446641379998</v>
      </c>
      <c r="I141" s="133">
        <v>1330.32414</v>
      </c>
      <c r="J141" s="103" t="s">
        <v>27</v>
      </c>
      <c r="K141" s="109">
        <v>2900.0</v>
      </c>
      <c r="L141" s="109">
        <v>84.0</v>
      </c>
      <c r="M141" s="110">
        <f>0.38*0.31*1.06</f>
        <v>0.124868</v>
      </c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ht="18.0" customHeight="1">
      <c r="A142" s="91"/>
      <c r="B142" s="56" t="s">
        <v>754</v>
      </c>
      <c r="C142" s="103">
        <v>11.0</v>
      </c>
      <c r="D142" s="104">
        <v>15.0</v>
      </c>
      <c r="E142" s="103">
        <v>20.0</v>
      </c>
      <c r="F142" s="104">
        <v>94.0</v>
      </c>
      <c r="G142" s="132" t="s">
        <v>723</v>
      </c>
      <c r="H142" s="107">
        <v>1851.291739959</v>
      </c>
      <c r="I142" s="133">
        <v>1962.4269299999996</v>
      </c>
      <c r="J142" s="103" t="s">
        <v>27</v>
      </c>
      <c r="K142" s="109">
        <v>2900.0</v>
      </c>
      <c r="L142" s="109">
        <v>153.0</v>
      </c>
      <c r="M142" s="110">
        <f>0.43*0.31*1.31</f>
        <v>0.174623</v>
      </c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ht="18.0" customHeight="1">
      <c r="A143" s="91"/>
      <c r="B143" s="56" t="s">
        <v>755</v>
      </c>
      <c r="C143" s="103">
        <v>11.0</v>
      </c>
      <c r="D143" s="104">
        <v>15.0</v>
      </c>
      <c r="E143" s="103">
        <v>20.0</v>
      </c>
      <c r="F143" s="104">
        <v>118.0</v>
      </c>
      <c r="G143" s="132" t="s">
        <v>723</v>
      </c>
      <c r="H143" s="107">
        <v>1906.9189811820002</v>
      </c>
      <c r="I143" s="133">
        <v>2016.9669449999997</v>
      </c>
      <c r="J143" s="103" t="s">
        <v>27</v>
      </c>
      <c r="K143" s="109">
        <v>2900.0</v>
      </c>
      <c r="L143" s="109">
        <v>157.0</v>
      </c>
      <c r="M143" s="110">
        <f>0.43*0.31*1.4</f>
        <v>0.18662</v>
      </c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ht="18.0" customHeight="1">
      <c r="A144" s="91"/>
      <c r="B144" s="56" t="s">
        <v>756</v>
      </c>
      <c r="C144" s="103">
        <v>15.0</v>
      </c>
      <c r="D144" s="104">
        <v>20.0</v>
      </c>
      <c r="E144" s="103">
        <v>20.0</v>
      </c>
      <c r="F144" s="104">
        <v>142.0</v>
      </c>
      <c r="G144" s="132" t="s">
        <v>723</v>
      </c>
      <c r="H144" s="107">
        <v>2011.1567128079996</v>
      </c>
      <c r="I144" s="133">
        <v>2117.782155</v>
      </c>
      <c r="J144" s="103" t="s">
        <v>27</v>
      </c>
      <c r="K144" s="109">
        <v>2900.0</v>
      </c>
      <c r="L144" s="109">
        <v>170.0</v>
      </c>
      <c r="M144" s="110">
        <f>0.43*0.31*1.49</f>
        <v>0.198617</v>
      </c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ht="18.0" customHeight="1">
      <c r="A145" s="91"/>
      <c r="B145" s="56" t="s">
        <v>757</v>
      </c>
      <c r="C145" s="103">
        <v>15.0</v>
      </c>
      <c r="D145" s="104">
        <v>20.0</v>
      </c>
      <c r="E145" s="103">
        <v>20.0</v>
      </c>
      <c r="F145" s="104">
        <v>166.0</v>
      </c>
      <c r="G145" s="132" t="s">
        <v>723</v>
      </c>
      <c r="H145" s="107">
        <v>2088.2630079299997</v>
      </c>
      <c r="I145" s="133">
        <v>2199.4167449999995</v>
      </c>
      <c r="J145" s="103" t="s">
        <v>27</v>
      </c>
      <c r="K145" s="109">
        <v>2900.0</v>
      </c>
      <c r="L145" s="109">
        <v>172.0</v>
      </c>
      <c r="M145" s="110">
        <f>0.43*0.31*1.58</f>
        <v>0.210614</v>
      </c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ht="18.0" customHeight="1">
      <c r="A146" s="91"/>
      <c r="B146" s="56" t="s">
        <v>758</v>
      </c>
      <c r="C146" s="103">
        <v>18.5</v>
      </c>
      <c r="D146" s="104">
        <v>25.0</v>
      </c>
      <c r="E146" s="103">
        <v>20.0</v>
      </c>
      <c r="F146" s="104">
        <v>202.0</v>
      </c>
      <c r="G146" s="132" t="s">
        <v>723</v>
      </c>
      <c r="H146" s="107">
        <v>2305.704319452</v>
      </c>
      <c r="I146" s="133">
        <v>2413.5223649999994</v>
      </c>
      <c r="J146" s="103" t="s">
        <v>27</v>
      </c>
      <c r="K146" s="109">
        <v>2900.0</v>
      </c>
      <c r="L146" s="109">
        <v>195.0</v>
      </c>
      <c r="M146" s="110">
        <f>0.43*0.31*1.76</f>
        <v>0.234608</v>
      </c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ht="18.0" customHeight="1">
      <c r="A147" s="91"/>
      <c r="B147" s="112" t="s">
        <v>759</v>
      </c>
      <c r="C147" s="103">
        <v>1.5</v>
      </c>
      <c r="D147" s="104">
        <v>2.0</v>
      </c>
      <c r="E147" s="103">
        <v>32.0</v>
      </c>
      <c r="F147" s="104">
        <v>9.0</v>
      </c>
      <c r="G147" s="132" t="s">
        <v>760</v>
      </c>
      <c r="H147" s="107">
        <v>837.488192316</v>
      </c>
      <c r="I147" s="133">
        <v>1000.7449499999998</v>
      </c>
      <c r="J147" s="103" t="s">
        <v>27</v>
      </c>
      <c r="K147" s="109">
        <v>2900.0</v>
      </c>
      <c r="L147" s="109">
        <v>64.0</v>
      </c>
      <c r="M147" s="110">
        <f t="shared" ref="M147:M148" si="3">0.34*0.36*0.82</f>
        <v>0.100368</v>
      </c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ht="18.0" customHeight="1">
      <c r="A148" s="91"/>
      <c r="B148" s="112" t="s">
        <v>761</v>
      </c>
      <c r="C148" s="103">
        <v>2.2</v>
      </c>
      <c r="D148" s="104">
        <v>3.0</v>
      </c>
      <c r="E148" s="103">
        <v>32.0</v>
      </c>
      <c r="F148" s="104">
        <v>13.0</v>
      </c>
      <c r="G148" s="132" t="s">
        <v>760</v>
      </c>
      <c r="H148" s="107">
        <v>861.618018747</v>
      </c>
      <c r="I148" s="133">
        <v>1024.876665</v>
      </c>
      <c r="J148" s="103" t="s">
        <v>27</v>
      </c>
      <c r="K148" s="109">
        <v>2900.0</v>
      </c>
      <c r="L148" s="109">
        <v>68.0</v>
      </c>
      <c r="M148" s="110">
        <f t="shared" si="3"/>
        <v>0.100368</v>
      </c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ht="18.0" customHeight="1">
      <c r="A149" s="91"/>
      <c r="B149" s="112" t="s">
        <v>762</v>
      </c>
      <c r="C149" s="103">
        <v>3.0</v>
      </c>
      <c r="D149" s="104">
        <v>4.0</v>
      </c>
      <c r="E149" s="103">
        <v>32.0</v>
      </c>
      <c r="F149" s="104">
        <v>20.0</v>
      </c>
      <c r="G149" s="132" t="s">
        <v>760</v>
      </c>
      <c r="H149" s="107">
        <v>990.1415046</v>
      </c>
      <c r="I149" s="133">
        <v>1153.4102099999998</v>
      </c>
      <c r="J149" s="103" t="s">
        <v>27</v>
      </c>
      <c r="K149" s="109">
        <v>2900.0</v>
      </c>
      <c r="L149" s="109">
        <v>77.0</v>
      </c>
      <c r="M149" s="110">
        <f>0.35*0.36*0.94</f>
        <v>0.11844</v>
      </c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ht="18.0" customHeight="1">
      <c r="A150" s="91"/>
      <c r="B150" s="112" t="s">
        <v>763</v>
      </c>
      <c r="C150" s="103">
        <v>4.0</v>
      </c>
      <c r="D150" s="104">
        <v>5.5</v>
      </c>
      <c r="E150" s="103">
        <v>32.0</v>
      </c>
      <c r="F150" s="104">
        <v>27.0</v>
      </c>
      <c r="G150" s="132" t="s">
        <v>760</v>
      </c>
      <c r="H150" s="107">
        <v>1051.73298402</v>
      </c>
      <c r="I150" s="133">
        <v>1218.20328</v>
      </c>
      <c r="J150" s="103" t="s">
        <v>27</v>
      </c>
      <c r="K150" s="109">
        <v>2900.0</v>
      </c>
      <c r="L150" s="109">
        <v>85.0</v>
      </c>
      <c r="M150" s="110">
        <f>0.37*0.36*0.95</f>
        <v>0.12654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ht="18.0" customHeight="1">
      <c r="A151" s="91"/>
      <c r="B151" s="112" t="s">
        <v>764</v>
      </c>
      <c r="C151" s="103">
        <v>5.5</v>
      </c>
      <c r="D151" s="104">
        <v>7.5</v>
      </c>
      <c r="E151" s="103">
        <v>32.0</v>
      </c>
      <c r="F151" s="104">
        <v>33.0</v>
      </c>
      <c r="G151" s="132" t="s">
        <v>760</v>
      </c>
      <c r="H151" s="107">
        <v>1293.499031718</v>
      </c>
      <c r="I151" s="133">
        <v>1459.9492649999997</v>
      </c>
      <c r="J151" s="103" t="s">
        <v>27</v>
      </c>
      <c r="K151" s="109">
        <v>2900.0</v>
      </c>
      <c r="L151" s="109">
        <v>100.0</v>
      </c>
      <c r="M151" s="110">
        <f t="shared" ref="M151:M152" si="4">0.39*0.36*1.06</f>
        <v>0.148824</v>
      </c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ht="18.0" customHeight="1">
      <c r="A152" s="91"/>
      <c r="B152" s="112" t="s">
        <v>765</v>
      </c>
      <c r="C152" s="103">
        <v>5.5</v>
      </c>
      <c r="D152" s="104">
        <v>7.5</v>
      </c>
      <c r="E152" s="103">
        <v>32.0</v>
      </c>
      <c r="F152" s="104">
        <v>40.0</v>
      </c>
      <c r="G152" s="132" t="s">
        <v>760</v>
      </c>
      <c r="H152" s="107">
        <v>1293.499031718</v>
      </c>
      <c r="I152" s="133">
        <v>1459.9492649999997</v>
      </c>
      <c r="J152" s="103" t="s">
        <v>27</v>
      </c>
      <c r="K152" s="109">
        <v>2900.0</v>
      </c>
      <c r="L152" s="109">
        <v>100.0</v>
      </c>
      <c r="M152" s="110">
        <f t="shared" si="4"/>
        <v>0.148824</v>
      </c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ht="18.0" customHeight="1">
      <c r="A153" s="91"/>
      <c r="B153" s="112" t="s">
        <v>766</v>
      </c>
      <c r="C153" s="103">
        <v>7.5</v>
      </c>
      <c r="D153" s="104">
        <v>10.0</v>
      </c>
      <c r="E153" s="103">
        <v>32.0</v>
      </c>
      <c r="F153" s="104">
        <v>46.0</v>
      </c>
      <c r="G153" s="132" t="s">
        <v>760</v>
      </c>
      <c r="H153" s="107">
        <v>1401.946813836</v>
      </c>
      <c r="I153" s="133">
        <v>1568.1326399999996</v>
      </c>
      <c r="J153" s="103" t="s">
        <v>27</v>
      </c>
      <c r="K153" s="109">
        <v>2900.0</v>
      </c>
      <c r="L153" s="109">
        <v>109.0</v>
      </c>
      <c r="M153" s="110">
        <f t="shared" ref="M153:M154" si="5">0.39*0.36*1.13</f>
        <v>0.158652</v>
      </c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ht="18.0" customHeight="1">
      <c r="A154" s="91"/>
      <c r="B154" s="112" t="s">
        <v>767</v>
      </c>
      <c r="C154" s="103">
        <v>7.5</v>
      </c>
      <c r="D154" s="104">
        <v>10.0</v>
      </c>
      <c r="E154" s="103">
        <v>32.0</v>
      </c>
      <c r="F154" s="104">
        <v>53.0</v>
      </c>
      <c r="G154" s="132" t="s">
        <v>760</v>
      </c>
      <c r="H154" s="107">
        <v>1401.946813836</v>
      </c>
      <c r="I154" s="133">
        <v>1568.1326399999996</v>
      </c>
      <c r="J154" s="103" t="s">
        <v>27</v>
      </c>
      <c r="K154" s="109">
        <v>2900.0</v>
      </c>
      <c r="L154" s="109">
        <v>109.0</v>
      </c>
      <c r="M154" s="110">
        <f t="shared" si="5"/>
        <v>0.158652</v>
      </c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ht="18.0" customHeight="1">
      <c r="A155" s="91"/>
      <c r="B155" s="112" t="s">
        <v>768</v>
      </c>
      <c r="C155" s="103">
        <v>11.0</v>
      </c>
      <c r="D155" s="104">
        <v>15.0</v>
      </c>
      <c r="E155" s="103">
        <v>32.0</v>
      </c>
      <c r="F155" s="104">
        <v>60.0</v>
      </c>
      <c r="G155" s="132" t="s">
        <v>760</v>
      </c>
      <c r="H155" s="107">
        <v>2111.418285636</v>
      </c>
      <c r="I155" s="133">
        <v>2277.932535</v>
      </c>
      <c r="J155" s="103" t="s">
        <v>27</v>
      </c>
      <c r="K155" s="109">
        <v>2900.0</v>
      </c>
      <c r="L155" s="109">
        <v>181.0</v>
      </c>
      <c r="M155" s="110">
        <f t="shared" ref="M155:M156" si="6">0.44*0.36*1.41</f>
        <v>0.223344</v>
      </c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ht="18.0" customHeight="1">
      <c r="A156" s="91"/>
      <c r="B156" s="112" t="s">
        <v>769</v>
      </c>
      <c r="C156" s="103">
        <v>11.0</v>
      </c>
      <c r="D156" s="104">
        <v>15.0</v>
      </c>
      <c r="E156" s="103">
        <v>32.0</v>
      </c>
      <c r="F156" s="104">
        <v>67.0</v>
      </c>
      <c r="G156" s="132" t="s">
        <v>760</v>
      </c>
      <c r="H156" s="107">
        <v>2111.418285636</v>
      </c>
      <c r="I156" s="133">
        <v>2277.932535</v>
      </c>
      <c r="J156" s="103" t="s">
        <v>27</v>
      </c>
      <c r="K156" s="109">
        <v>2900.0</v>
      </c>
      <c r="L156" s="109">
        <v>181.0</v>
      </c>
      <c r="M156" s="110">
        <f t="shared" si="6"/>
        <v>0.223344</v>
      </c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ht="18.0" customHeight="1">
      <c r="A157" s="91"/>
      <c r="B157" s="112" t="s">
        <v>770</v>
      </c>
      <c r="C157" s="103">
        <v>11.0</v>
      </c>
      <c r="D157" s="104">
        <v>15.0</v>
      </c>
      <c r="E157" s="103">
        <v>32.0</v>
      </c>
      <c r="F157" s="104">
        <v>74.0</v>
      </c>
      <c r="G157" s="132" t="s">
        <v>760</v>
      </c>
      <c r="H157" s="107">
        <v>2169.852227187</v>
      </c>
      <c r="I157" s="133">
        <v>2335.8252599999996</v>
      </c>
      <c r="J157" s="103" t="s">
        <v>27</v>
      </c>
      <c r="K157" s="109">
        <v>2900.0</v>
      </c>
      <c r="L157" s="109">
        <v>185.0</v>
      </c>
      <c r="M157" s="110">
        <f t="shared" ref="M157:M158" si="7">0.44*0.36*1.48</f>
        <v>0.234432</v>
      </c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ht="18.0" customHeight="1">
      <c r="A158" s="91"/>
      <c r="B158" s="112" t="s">
        <v>771</v>
      </c>
      <c r="C158" s="103">
        <v>11.0</v>
      </c>
      <c r="D158" s="104">
        <v>15.0</v>
      </c>
      <c r="E158" s="103">
        <v>32.0</v>
      </c>
      <c r="F158" s="104">
        <v>81.0</v>
      </c>
      <c r="G158" s="132" t="s">
        <v>760</v>
      </c>
      <c r="H158" s="107">
        <v>2169.852227187</v>
      </c>
      <c r="I158" s="133">
        <v>2335.8252599999996</v>
      </c>
      <c r="J158" s="103" t="s">
        <v>27</v>
      </c>
      <c r="K158" s="109">
        <v>2900.0</v>
      </c>
      <c r="L158" s="109">
        <v>185.0</v>
      </c>
      <c r="M158" s="110">
        <f t="shared" si="7"/>
        <v>0.234432</v>
      </c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ht="18.0" customHeight="1">
      <c r="A159" s="91"/>
      <c r="B159" s="112" t="s">
        <v>772</v>
      </c>
      <c r="C159" s="103">
        <v>15.0</v>
      </c>
      <c r="D159" s="104">
        <v>20.0</v>
      </c>
      <c r="E159" s="103">
        <v>32.0</v>
      </c>
      <c r="F159" s="104">
        <v>88.0</v>
      </c>
      <c r="G159" s="132" t="s">
        <v>760</v>
      </c>
      <c r="H159" s="107">
        <v>2277.754262019</v>
      </c>
      <c r="I159" s="133">
        <v>2444.2815299999993</v>
      </c>
      <c r="J159" s="103" t="s">
        <v>27</v>
      </c>
      <c r="K159" s="109">
        <v>2900.0</v>
      </c>
      <c r="L159" s="109">
        <v>199.0</v>
      </c>
      <c r="M159" s="110">
        <f t="shared" ref="M159:M160" si="8">0.44*0.36*1.55</f>
        <v>0.24552</v>
      </c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ht="18.0" customHeight="1">
      <c r="A160" s="91"/>
      <c r="B160" s="112" t="s">
        <v>773</v>
      </c>
      <c r="C160" s="103">
        <v>15.0</v>
      </c>
      <c r="D160" s="104">
        <v>20.0</v>
      </c>
      <c r="E160" s="103">
        <v>32.0</v>
      </c>
      <c r="F160" s="104">
        <v>95.0</v>
      </c>
      <c r="G160" s="132" t="s">
        <v>760</v>
      </c>
      <c r="H160" s="107">
        <v>2277.754262019</v>
      </c>
      <c r="I160" s="133">
        <v>2444.2815299999993</v>
      </c>
      <c r="J160" s="103" t="s">
        <v>27</v>
      </c>
      <c r="K160" s="109">
        <v>2900.0</v>
      </c>
      <c r="L160" s="109">
        <v>199.0</v>
      </c>
      <c r="M160" s="110">
        <f t="shared" si="8"/>
        <v>0.24552</v>
      </c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ht="18.0" customHeight="1">
      <c r="A161" s="91"/>
      <c r="B161" s="112" t="s">
        <v>774</v>
      </c>
      <c r="C161" s="103">
        <v>15.0</v>
      </c>
      <c r="D161" s="104">
        <v>20.0</v>
      </c>
      <c r="E161" s="103">
        <v>32.0</v>
      </c>
      <c r="F161" s="104">
        <v>102.0</v>
      </c>
      <c r="G161" s="132" t="s">
        <v>760</v>
      </c>
      <c r="H161" s="107">
        <v>2337.9034093259997</v>
      </c>
      <c r="I161" s="133">
        <v>2504.4353849999998</v>
      </c>
      <c r="J161" s="103" t="s">
        <v>27</v>
      </c>
      <c r="K161" s="109">
        <v>2900.0</v>
      </c>
      <c r="L161" s="109">
        <v>203.0</v>
      </c>
      <c r="M161" s="110">
        <f t="shared" ref="M161:M162" si="9">0.44*0.36*1.62</f>
        <v>0.256608</v>
      </c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ht="18.0" customHeight="1">
      <c r="A162" s="91"/>
      <c r="B162" s="112" t="s">
        <v>775</v>
      </c>
      <c r="C162" s="103">
        <v>15.0</v>
      </c>
      <c r="D162" s="104">
        <v>20.0</v>
      </c>
      <c r="E162" s="103">
        <v>32.0</v>
      </c>
      <c r="F162" s="104">
        <v>109.0</v>
      </c>
      <c r="G162" s="132" t="s">
        <v>760</v>
      </c>
      <c r="H162" s="107">
        <v>2337.9034093259997</v>
      </c>
      <c r="I162" s="133">
        <v>2504.4353849999998</v>
      </c>
      <c r="J162" s="103" t="s">
        <v>27</v>
      </c>
      <c r="K162" s="109">
        <v>2900.0</v>
      </c>
      <c r="L162" s="109">
        <v>203.0</v>
      </c>
      <c r="M162" s="110">
        <f t="shared" si="9"/>
        <v>0.256608</v>
      </c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ht="18.0" customHeight="1">
      <c r="A163" s="91"/>
      <c r="B163" s="112" t="s">
        <v>776</v>
      </c>
      <c r="C163" s="103">
        <v>18.5</v>
      </c>
      <c r="D163" s="104">
        <v>25.0</v>
      </c>
      <c r="E163" s="103">
        <v>32.0</v>
      </c>
      <c r="F163" s="104">
        <v>117.0</v>
      </c>
      <c r="G163" s="132" t="s">
        <v>760</v>
      </c>
      <c r="H163" s="107">
        <v>2518.3898331960004</v>
      </c>
      <c r="I163" s="133">
        <v>2684.935935</v>
      </c>
      <c r="J163" s="103" t="s">
        <v>27</v>
      </c>
      <c r="K163" s="109">
        <v>2900.0</v>
      </c>
      <c r="L163" s="109">
        <v>222.0</v>
      </c>
      <c r="M163" s="110">
        <f t="shared" ref="M163:M164" si="10">0.44*0.36*1.74</f>
        <v>0.275616</v>
      </c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ht="18.0" customHeight="1">
      <c r="A164" s="91"/>
      <c r="B164" s="112" t="s">
        <v>777</v>
      </c>
      <c r="C164" s="103">
        <v>18.5</v>
      </c>
      <c r="D164" s="104">
        <v>25.0</v>
      </c>
      <c r="E164" s="103">
        <v>32.0</v>
      </c>
      <c r="F164" s="104">
        <v>124.0</v>
      </c>
      <c r="G164" s="132" t="s">
        <v>760</v>
      </c>
      <c r="H164" s="107">
        <v>2518.3898331960004</v>
      </c>
      <c r="I164" s="133">
        <v>2684.935935</v>
      </c>
      <c r="J164" s="103" t="s">
        <v>27</v>
      </c>
      <c r="K164" s="109">
        <v>2900.0</v>
      </c>
      <c r="L164" s="109">
        <v>222.0</v>
      </c>
      <c r="M164" s="110">
        <f t="shared" si="10"/>
        <v>0.275616</v>
      </c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ht="18.0" customHeight="1">
      <c r="A165" s="91"/>
      <c r="B165" s="112" t="s">
        <v>778</v>
      </c>
      <c r="C165" s="103">
        <v>18.5</v>
      </c>
      <c r="D165" s="104">
        <v>25.0</v>
      </c>
      <c r="E165" s="103">
        <v>32.0</v>
      </c>
      <c r="F165" s="104">
        <v>131.0</v>
      </c>
      <c r="G165" s="132" t="s">
        <v>760</v>
      </c>
      <c r="H165" s="107">
        <v>2585.321839629</v>
      </c>
      <c r="I165" s="133">
        <v>2751.8731799999996</v>
      </c>
      <c r="J165" s="103" t="s">
        <v>27</v>
      </c>
      <c r="K165" s="109">
        <v>2900.0</v>
      </c>
      <c r="L165" s="109">
        <v>227.0</v>
      </c>
      <c r="M165" s="110">
        <f t="shared" ref="M165:M166" si="11">0.44*0.36*1.81</f>
        <v>0.286704</v>
      </c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ht="18.0" customHeight="1">
      <c r="A166" s="91"/>
      <c r="B166" s="112" t="s">
        <v>779</v>
      </c>
      <c r="C166" s="103">
        <v>18.5</v>
      </c>
      <c r="D166" s="104">
        <v>25.0</v>
      </c>
      <c r="E166" s="103">
        <v>32.0</v>
      </c>
      <c r="F166" s="104">
        <v>138.0</v>
      </c>
      <c r="G166" s="132" t="s">
        <v>760</v>
      </c>
      <c r="H166" s="107">
        <v>2585.321839629</v>
      </c>
      <c r="I166" s="133">
        <v>2751.8731799999996</v>
      </c>
      <c r="J166" s="103" t="s">
        <v>27</v>
      </c>
      <c r="K166" s="109">
        <v>2900.0</v>
      </c>
      <c r="L166" s="109">
        <v>227.0</v>
      </c>
      <c r="M166" s="110">
        <f t="shared" si="11"/>
        <v>0.286704</v>
      </c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ht="18.0" customHeight="1">
      <c r="A167" s="91"/>
      <c r="B167" s="112" t="s">
        <v>780</v>
      </c>
      <c r="C167" s="103">
        <v>22.0</v>
      </c>
      <c r="D167" s="104">
        <v>30.0</v>
      </c>
      <c r="E167" s="103">
        <v>32.0</v>
      </c>
      <c r="F167" s="104">
        <v>146.0</v>
      </c>
      <c r="G167" s="132" t="s">
        <v>760</v>
      </c>
      <c r="H167" s="107">
        <v>3089.163530454</v>
      </c>
      <c r="I167" s="133">
        <v>3256.3390799999993</v>
      </c>
      <c r="J167" s="103" t="s">
        <v>27</v>
      </c>
      <c r="K167" s="109">
        <v>2900.0</v>
      </c>
      <c r="L167" s="109">
        <v>272.0</v>
      </c>
      <c r="M167" s="110">
        <f t="shared" ref="M167:M168" si="12">0.47*0.36*1.91</f>
        <v>0.323172</v>
      </c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ht="18.0" customHeight="1">
      <c r="A168" s="91"/>
      <c r="B168" s="112" t="s">
        <v>781</v>
      </c>
      <c r="C168" s="103">
        <v>22.0</v>
      </c>
      <c r="D168" s="104">
        <v>30.0</v>
      </c>
      <c r="E168" s="103">
        <v>32.0</v>
      </c>
      <c r="F168" s="104">
        <v>153.0</v>
      </c>
      <c r="G168" s="132" t="s">
        <v>760</v>
      </c>
      <c r="H168" s="107">
        <v>3089.163530454</v>
      </c>
      <c r="I168" s="133">
        <v>3256.3390799999993</v>
      </c>
      <c r="J168" s="103" t="s">
        <v>27</v>
      </c>
      <c r="K168" s="109">
        <v>2900.0</v>
      </c>
      <c r="L168" s="109">
        <v>272.0</v>
      </c>
      <c r="M168" s="110">
        <f t="shared" si="12"/>
        <v>0.323172</v>
      </c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ht="18.0" customHeight="1">
      <c r="A169" s="91"/>
      <c r="B169" s="112" t="s">
        <v>782</v>
      </c>
      <c r="C169" s="103">
        <v>22.0</v>
      </c>
      <c r="D169" s="104">
        <v>30.0</v>
      </c>
      <c r="E169" s="103">
        <v>32.0</v>
      </c>
      <c r="F169" s="104">
        <v>160.0</v>
      </c>
      <c r="G169" s="132" t="s">
        <v>760</v>
      </c>
      <c r="H169" s="107">
        <v>3150.1702806390003</v>
      </c>
      <c r="I169" s="133">
        <v>3316.2200399999992</v>
      </c>
      <c r="J169" s="103" t="s">
        <v>27</v>
      </c>
      <c r="K169" s="109">
        <v>2900.0</v>
      </c>
      <c r="L169" s="109">
        <v>276.0</v>
      </c>
      <c r="M169" s="110">
        <f t="shared" ref="M169:M170" si="13">0.47*0.36*1.98</f>
        <v>0.335016</v>
      </c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ht="18.0" customHeight="1">
      <c r="A170" s="91"/>
      <c r="B170" s="112" t="s">
        <v>783</v>
      </c>
      <c r="C170" s="103">
        <v>22.0</v>
      </c>
      <c r="D170" s="104">
        <v>30.0</v>
      </c>
      <c r="E170" s="103">
        <v>32.0</v>
      </c>
      <c r="F170" s="104">
        <v>167.0</v>
      </c>
      <c r="G170" s="132" t="s">
        <v>760</v>
      </c>
      <c r="H170" s="107">
        <v>3150.1702806390003</v>
      </c>
      <c r="I170" s="133">
        <v>3316.2200399999992</v>
      </c>
      <c r="J170" s="103" t="s">
        <v>27</v>
      </c>
      <c r="K170" s="109">
        <v>2900.0</v>
      </c>
      <c r="L170" s="109">
        <v>276.0</v>
      </c>
      <c r="M170" s="110">
        <f t="shared" si="13"/>
        <v>0.335016</v>
      </c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ht="18.0" customHeight="1">
      <c r="A171" s="91"/>
      <c r="B171" s="112" t="s">
        <v>784</v>
      </c>
      <c r="C171" s="103">
        <v>30.0</v>
      </c>
      <c r="D171" s="104">
        <v>40.0</v>
      </c>
      <c r="E171" s="103">
        <v>32.0</v>
      </c>
      <c r="F171" s="104">
        <v>174.0</v>
      </c>
      <c r="G171" s="132" t="s">
        <v>760</v>
      </c>
      <c r="H171" s="168" t="s">
        <v>80</v>
      </c>
      <c r="I171" s="168" t="s">
        <v>80</v>
      </c>
      <c r="J171" s="103" t="s">
        <v>27</v>
      </c>
      <c r="K171" s="109">
        <v>2900.0</v>
      </c>
      <c r="L171" s="109">
        <v>337.0</v>
      </c>
      <c r="M171" s="110">
        <f t="shared" ref="M171:M172" si="14">0.49*0.36*2.12</f>
        <v>0.373968</v>
      </c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ht="18.0" customHeight="1">
      <c r="A172" s="91"/>
      <c r="B172" s="112" t="s">
        <v>785</v>
      </c>
      <c r="C172" s="103">
        <v>30.0</v>
      </c>
      <c r="D172" s="104">
        <v>40.0</v>
      </c>
      <c r="E172" s="103">
        <v>32.0</v>
      </c>
      <c r="F172" s="104">
        <v>181.0</v>
      </c>
      <c r="G172" s="132" t="s">
        <v>760</v>
      </c>
      <c r="H172" s="168" t="s">
        <v>80</v>
      </c>
      <c r="I172" s="168" t="s">
        <v>80</v>
      </c>
      <c r="J172" s="103" t="s">
        <v>27</v>
      </c>
      <c r="K172" s="109">
        <v>2900.0</v>
      </c>
      <c r="L172" s="109">
        <v>337.0</v>
      </c>
      <c r="M172" s="110">
        <f t="shared" si="14"/>
        <v>0.373968</v>
      </c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ht="18.0" customHeight="1">
      <c r="A173" s="91"/>
      <c r="B173" s="112" t="s">
        <v>786</v>
      </c>
      <c r="C173" s="103">
        <v>30.0</v>
      </c>
      <c r="D173" s="104">
        <v>40.0</v>
      </c>
      <c r="E173" s="103">
        <v>32.0</v>
      </c>
      <c r="F173" s="104">
        <v>189.0</v>
      </c>
      <c r="G173" s="132" t="s">
        <v>760</v>
      </c>
      <c r="H173" s="168" t="s">
        <v>80</v>
      </c>
      <c r="I173" s="168" t="s">
        <v>80</v>
      </c>
      <c r="J173" s="103" t="s">
        <v>27</v>
      </c>
      <c r="K173" s="109">
        <v>2900.0</v>
      </c>
      <c r="L173" s="109">
        <v>341.0</v>
      </c>
      <c r="M173" s="110">
        <f t="shared" ref="M173:M174" si="15">0.49*0.36*2.19</f>
        <v>0.386316</v>
      </c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ht="18.0" customHeight="1">
      <c r="A174" s="91"/>
      <c r="B174" s="112" t="s">
        <v>787</v>
      </c>
      <c r="C174" s="103">
        <v>30.0</v>
      </c>
      <c r="D174" s="104">
        <v>40.0</v>
      </c>
      <c r="E174" s="103">
        <v>32.0</v>
      </c>
      <c r="F174" s="104">
        <v>196.0</v>
      </c>
      <c r="G174" s="132" t="s">
        <v>760</v>
      </c>
      <c r="H174" s="168" t="s">
        <v>80</v>
      </c>
      <c r="I174" s="168" t="s">
        <v>80</v>
      </c>
      <c r="J174" s="103" t="s">
        <v>27</v>
      </c>
      <c r="K174" s="109">
        <v>2900.0</v>
      </c>
      <c r="L174" s="109">
        <v>341.0</v>
      </c>
      <c r="M174" s="110">
        <f t="shared" si="15"/>
        <v>0.386316</v>
      </c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ht="18.0" customHeight="1">
      <c r="A175" s="91"/>
      <c r="B175" s="112" t="s">
        <v>788</v>
      </c>
      <c r="C175" s="103">
        <v>30.0</v>
      </c>
      <c r="D175" s="104">
        <v>40.0</v>
      </c>
      <c r="E175" s="103">
        <v>32.0</v>
      </c>
      <c r="F175" s="104">
        <v>203.0</v>
      </c>
      <c r="G175" s="132" t="s">
        <v>760</v>
      </c>
      <c r="H175" s="168" t="s">
        <v>80</v>
      </c>
      <c r="I175" s="168" t="s">
        <v>80</v>
      </c>
      <c r="J175" s="103" t="s">
        <v>27</v>
      </c>
      <c r="K175" s="109">
        <v>2900.0</v>
      </c>
      <c r="L175" s="109">
        <v>345.0</v>
      </c>
      <c r="M175" s="110">
        <f t="shared" ref="M175:M176" si="16">0.49*0.36*2.26</f>
        <v>0.398664</v>
      </c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ht="18.0" customHeight="1">
      <c r="A176" s="91"/>
      <c r="B176" s="112" t="s">
        <v>789</v>
      </c>
      <c r="C176" s="103">
        <v>30.0</v>
      </c>
      <c r="D176" s="104">
        <v>40.0</v>
      </c>
      <c r="E176" s="103">
        <v>32.0</v>
      </c>
      <c r="F176" s="104">
        <v>210.0</v>
      </c>
      <c r="G176" s="132" t="s">
        <v>760</v>
      </c>
      <c r="H176" s="168" t="s">
        <v>80</v>
      </c>
      <c r="I176" s="168" t="s">
        <v>80</v>
      </c>
      <c r="J176" s="103" t="s">
        <v>27</v>
      </c>
      <c r="K176" s="109">
        <v>2900.0</v>
      </c>
      <c r="L176" s="109">
        <v>345.0</v>
      </c>
      <c r="M176" s="110">
        <f t="shared" si="16"/>
        <v>0.398664</v>
      </c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ht="18.0" customHeight="1">
      <c r="A177" s="91"/>
      <c r="B177" s="112" t="s">
        <v>790</v>
      </c>
      <c r="C177" s="103">
        <v>30.0</v>
      </c>
      <c r="D177" s="104">
        <v>40.0</v>
      </c>
      <c r="E177" s="103">
        <v>32.0</v>
      </c>
      <c r="F177" s="104">
        <v>218.0</v>
      </c>
      <c r="G177" s="132" t="s">
        <v>760</v>
      </c>
      <c r="H177" s="168" t="s">
        <v>80</v>
      </c>
      <c r="I177" s="168" t="s">
        <v>80</v>
      </c>
      <c r="J177" s="103" t="s">
        <v>27</v>
      </c>
      <c r="K177" s="109">
        <v>2900.0</v>
      </c>
      <c r="L177" s="109">
        <v>350.0</v>
      </c>
      <c r="M177" s="110">
        <f t="shared" ref="M177:M178" si="17">0.49*0.36*2.33</f>
        <v>0.411012</v>
      </c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ht="18.0" customHeight="1">
      <c r="A178" s="91"/>
      <c r="B178" s="112" t="s">
        <v>791</v>
      </c>
      <c r="C178" s="103">
        <v>30.0</v>
      </c>
      <c r="D178" s="104">
        <v>40.0</v>
      </c>
      <c r="E178" s="103">
        <v>32.0</v>
      </c>
      <c r="F178" s="104">
        <v>225.0</v>
      </c>
      <c r="G178" s="132" t="s">
        <v>760</v>
      </c>
      <c r="H178" s="168" t="s">
        <v>80</v>
      </c>
      <c r="I178" s="168" t="s">
        <v>80</v>
      </c>
      <c r="J178" s="103" t="s">
        <v>27</v>
      </c>
      <c r="K178" s="109">
        <v>2900.0</v>
      </c>
      <c r="L178" s="109">
        <v>350.0</v>
      </c>
      <c r="M178" s="110">
        <f t="shared" si="17"/>
        <v>0.411012</v>
      </c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ht="18.0" customHeight="1">
      <c r="A179" s="91"/>
      <c r="B179" s="112" t="s">
        <v>792</v>
      </c>
      <c r="C179" s="103">
        <v>3.0</v>
      </c>
      <c r="D179" s="104">
        <v>4.0</v>
      </c>
      <c r="E179" s="103">
        <v>45.0</v>
      </c>
      <c r="F179" s="104">
        <v>15.0</v>
      </c>
      <c r="G179" s="132" t="s">
        <v>793</v>
      </c>
      <c r="H179" s="107">
        <v>852.7301343749999</v>
      </c>
      <c r="I179" s="133">
        <v>1268.6888549999999</v>
      </c>
      <c r="J179" s="103" t="s">
        <v>27</v>
      </c>
      <c r="K179" s="109">
        <v>2900.0</v>
      </c>
      <c r="L179" s="109">
        <v>83.0</v>
      </c>
      <c r="M179" s="110">
        <f>0.39*0.39*0.93</f>
        <v>0.141453</v>
      </c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ht="18.0" customHeight="1">
      <c r="A180" s="91"/>
      <c r="B180" s="112" t="s">
        <v>794</v>
      </c>
      <c r="C180" s="103">
        <v>4.0</v>
      </c>
      <c r="D180" s="104">
        <v>5.5</v>
      </c>
      <c r="E180" s="103">
        <v>45.0</v>
      </c>
      <c r="F180" s="104">
        <v>19.0</v>
      </c>
      <c r="G180" s="132" t="s">
        <v>793</v>
      </c>
      <c r="H180" s="107">
        <v>1021.521973545</v>
      </c>
      <c r="I180" s="133">
        <v>1403.77188</v>
      </c>
      <c r="J180" s="103" t="s">
        <v>27</v>
      </c>
      <c r="K180" s="109">
        <v>2900.0</v>
      </c>
      <c r="L180" s="109">
        <v>90.0</v>
      </c>
      <c r="M180" s="110">
        <f>0.39*0.39*0.94</f>
        <v>0.142974</v>
      </c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ht="18.0" customHeight="1">
      <c r="A181" s="91"/>
      <c r="B181" s="112" t="s">
        <v>795</v>
      </c>
      <c r="C181" s="103">
        <v>5.5</v>
      </c>
      <c r="D181" s="104">
        <v>7.5</v>
      </c>
      <c r="E181" s="103">
        <v>45.0</v>
      </c>
      <c r="F181" s="104">
        <v>30.0</v>
      </c>
      <c r="G181" s="132" t="s">
        <v>793</v>
      </c>
      <c r="H181" s="107">
        <v>1377.115312323</v>
      </c>
      <c r="I181" s="133">
        <v>1609.9635449999996</v>
      </c>
      <c r="J181" s="103" t="s">
        <v>27</v>
      </c>
      <c r="K181" s="109">
        <v>2900.0</v>
      </c>
      <c r="L181" s="109">
        <v>105.0</v>
      </c>
      <c r="M181" s="110">
        <f t="shared" ref="M181:M182" si="18">0.41*0.39*1.05</f>
        <v>0.167895</v>
      </c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ht="18.0" customHeight="1">
      <c r="A182" s="91"/>
      <c r="B182" s="112" t="s">
        <v>796</v>
      </c>
      <c r="C182" s="103">
        <v>7.5</v>
      </c>
      <c r="D182" s="104">
        <v>10.0</v>
      </c>
      <c r="E182" s="103">
        <v>45.0</v>
      </c>
      <c r="F182" s="104">
        <v>39.0</v>
      </c>
      <c r="G182" s="132" t="s">
        <v>793</v>
      </c>
      <c r="H182" s="107">
        <v>1598.532782643</v>
      </c>
      <c r="I182" s="133">
        <v>1838.45463</v>
      </c>
      <c r="J182" s="103" t="s">
        <v>27</v>
      </c>
      <c r="K182" s="109">
        <v>2900.0</v>
      </c>
      <c r="L182" s="109">
        <v>110.0</v>
      </c>
      <c r="M182" s="110">
        <f t="shared" si="18"/>
        <v>0.167895</v>
      </c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ht="18.0" customHeight="1">
      <c r="A183" s="91"/>
      <c r="B183" s="112" t="s">
        <v>797</v>
      </c>
      <c r="C183" s="103">
        <v>11.0</v>
      </c>
      <c r="D183" s="104">
        <v>15.0</v>
      </c>
      <c r="E183" s="103">
        <v>45.0</v>
      </c>
      <c r="F183" s="104">
        <v>50.0</v>
      </c>
      <c r="G183" s="132" t="s">
        <v>793</v>
      </c>
      <c r="H183" s="107">
        <v>2062.262047947</v>
      </c>
      <c r="I183" s="133">
        <v>2365.2199499999997</v>
      </c>
      <c r="J183" s="103" t="s">
        <v>27</v>
      </c>
      <c r="K183" s="109">
        <v>2900.0</v>
      </c>
      <c r="L183" s="109">
        <v>183.0</v>
      </c>
      <c r="M183" s="110">
        <f t="shared" ref="M183:M184" si="19">0.46*0.39*1.35</f>
        <v>0.24219</v>
      </c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ht="18.0" customHeight="1">
      <c r="A184" s="91"/>
      <c r="B184" s="112" t="s">
        <v>798</v>
      </c>
      <c r="C184" s="103">
        <v>11.0</v>
      </c>
      <c r="D184" s="104">
        <v>15.0</v>
      </c>
      <c r="E184" s="103">
        <v>45.0</v>
      </c>
      <c r="F184" s="104">
        <v>58.0</v>
      </c>
      <c r="G184" s="132" t="s">
        <v>793</v>
      </c>
      <c r="H184" s="107">
        <v>2062.262047947</v>
      </c>
      <c r="I184" s="133">
        <v>2365.2199499999997</v>
      </c>
      <c r="J184" s="103" t="s">
        <v>27</v>
      </c>
      <c r="K184" s="109">
        <v>2900.0</v>
      </c>
      <c r="L184" s="109">
        <v>183.0</v>
      </c>
      <c r="M184" s="110">
        <f t="shared" si="19"/>
        <v>0.24219</v>
      </c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ht="18.0" customHeight="1">
      <c r="A185" s="91"/>
      <c r="B185" s="112" t="s">
        <v>799</v>
      </c>
      <c r="C185" s="103">
        <v>15.0</v>
      </c>
      <c r="D185" s="104">
        <v>20.0</v>
      </c>
      <c r="E185" s="103">
        <v>45.0</v>
      </c>
      <c r="F185" s="104">
        <v>69.0</v>
      </c>
      <c r="G185" s="132" t="s">
        <v>793</v>
      </c>
      <c r="H185" s="107">
        <v>2646.8743371</v>
      </c>
      <c r="I185" s="133">
        <v>3273.8433449999998</v>
      </c>
      <c r="J185" s="103" t="s">
        <v>27</v>
      </c>
      <c r="K185" s="109">
        <v>2900.0</v>
      </c>
      <c r="L185" s="109">
        <v>197.0</v>
      </c>
      <c r="M185" s="110">
        <f t="shared" ref="M185:M186" si="20">0.46*0.39*1.43</f>
        <v>0.256542</v>
      </c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ht="18.0" customHeight="1">
      <c r="A186" s="91"/>
      <c r="B186" s="112" t="s">
        <v>800</v>
      </c>
      <c r="C186" s="103">
        <v>15.0</v>
      </c>
      <c r="D186" s="104">
        <v>20.0</v>
      </c>
      <c r="E186" s="103">
        <v>45.0</v>
      </c>
      <c r="F186" s="104">
        <v>78.0</v>
      </c>
      <c r="G186" s="132" t="s">
        <v>793</v>
      </c>
      <c r="H186" s="107">
        <v>2646.8743371</v>
      </c>
      <c r="I186" s="133">
        <v>3273.8433449999998</v>
      </c>
      <c r="J186" s="103" t="s">
        <v>27</v>
      </c>
      <c r="K186" s="109">
        <v>2900.0</v>
      </c>
      <c r="L186" s="109">
        <v>197.0</v>
      </c>
      <c r="M186" s="110">
        <f t="shared" si="20"/>
        <v>0.256542</v>
      </c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ht="18.0" customHeight="1">
      <c r="A187" s="91"/>
      <c r="B187" s="112" t="s">
        <v>801</v>
      </c>
      <c r="C187" s="103">
        <v>18.5</v>
      </c>
      <c r="D187" s="104">
        <v>25.0</v>
      </c>
      <c r="E187" s="103">
        <v>45.0</v>
      </c>
      <c r="F187" s="104">
        <v>88.0</v>
      </c>
      <c r="G187" s="132" t="s">
        <v>793</v>
      </c>
      <c r="H187" s="107">
        <v>3320.170560228</v>
      </c>
      <c r="I187" s="133">
        <v>3774.878564999999</v>
      </c>
      <c r="J187" s="103" t="s">
        <v>27</v>
      </c>
      <c r="K187" s="109">
        <v>2900.0</v>
      </c>
      <c r="L187" s="109">
        <v>221.0</v>
      </c>
      <c r="M187" s="110">
        <f t="shared" ref="M187:M188" si="21">0.46*0.39*1.56</f>
        <v>0.279864</v>
      </c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ht="18.0" customHeight="1">
      <c r="A188" s="91"/>
      <c r="B188" s="112" t="s">
        <v>802</v>
      </c>
      <c r="C188" s="103">
        <v>18.5</v>
      </c>
      <c r="D188" s="104">
        <v>25.0</v>
      </c>
      <c r="E188" s="103">
        <v>45.0</v>
      </c>
      <c r="F188" s="104">
        <v>97.0</v>
      </c>
      <c r="G188" s="132" t="s">
        <v>793</v>
      </c>
      <c r="H188" s="107">
        <v>3320.170560228</v>
      </c>
      <c r="I188" s="133">
        <v>3774.878564999999</v>
      </c>
      <c r="J188" s="103" t="s">
        <v>27</v>
      </c>
      <c r="K188" s="109">
        <v>2900.0</v>
      </c>
      <c r="L188" s="109">
        <v>221.0</v>
      </c>
      <c r="M188" s="110">
        <f t="shared" si="21"/>
        <v>0.279864</v>
      </c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ht="18.0" customHeight="1">
      <c r="A189" s="91"/>
      <c r="B189" s="112" t="s">
        <v>803</v>
      </c>
      <c r="C189" s="103">
        <v>22.0</v>
      </c>
      <c r="D189" s="104">
        <v>30.0</v>
      </c>
      <c r="E189" s="103">
        <v>45.0</v>
      </c>
      <c r="F189" s="104">
        <v>108.0</v>
      </c>
      <c r="G189" s="132" t="s">
        <v>793</v>
      </c>
      <c r="H189" s="107">
        <v>3844.360828431</v>
      </c>
      <c r="I189" s="133">
        <v>4406.435564999999</v>
      </c>
      <c r="J189" s="103" t="s">
        <v>27</v>
      </c>
      <c r="K189" s="109">
        <v>2900.0</v>
      </c>
      <c r="L189" s="109">
        <v>261.0</v>
      </c>
      <c r="M189" s="110">
        <f t="shared" ref="M189:M190" si="22">0.49*0.39*1.66</f>
        <v>0.317226</v>
      </c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ht="18.0" customHeight="1">
      <c r="A190" s="91"/>
      <c r="B190" s="112" t="s">
        <v>804</v>
      </c>
      <c r="C190" s="103">
        <v>22.0</v>
      </c>
      <c r="D190" s="104">
        <v>30.0</v>
      </c>
      <c r="E190" s="103">
        <v>45.0</v>
      </c>
      <c r="F190" s="104">
        <v>116.0</v>
      </c>
      <c r="G190" s="132" t="s">
        <v>793</v>
      </c>
      <c r="H190" s="107">
        <v>3844.360828431</v>
      </c>
      <c r="I190" s="133">
        <v>4406.435564999999</v>
      </c>
      <c r="J190" s="103" t="s">
        <v>27</v>
      </c>
      <c r="K190" s="109">
        <v>2900.0</v>
      </c>
      <c r="L190" s="109">
        <v>261.0</v>
      </c>
      <c r="M190" s="110">
        <f t="shared" si="22"/>
        <v>0.317226</v>
      </c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ht="18.0" customHeight="1">
      <c r="A191" s="91"/>
      <c r="B191" s="112" t="s">
        <v>805</v>
      </c>
      <c r="C191" s="103">
        <v>30.0</v>
      </c>
      <c r="D191" s="104">
        <v>40.0</v>
      </c>
      <c r="E191" s="103">
        <v>45.0</v>
      </c>
      <c r="F191" s="104">
        <v>127.0</v>
      </c>
      <c r="G191" s="132" t="s">
        <v>793</v>
      </c>
      <c r="H191" s="168" t="s">
        <v>80</v>
      </c>
      <c r="I191" s="168" t="s">
        <v>80</v>
      </c>
      <c r="J191" s="103" t="s">
        <v>27</v>
      </c>
      <c r="K191" s="109">
        <v>2900.0</v>
      </c>
      <c r="L191" s="109">
        <v>320.0</v>
      </c>
      <c r="M191" s="110">
        <f t="shared" ref="M191:M192" si="23">0.51*0.39*1.82</f>
        <v>0.361998</v>
      </c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ht="18.0" customHeight="1">
      <c r="A192" s="91"/>
      <c r="B192" s="112" t="s">
        <v>806</v>
      </c>
      <c r="C192" s="103">
        <v>30.0</v>
      </c>
      <c r="D192" s="104">
        <v>40.0</v>
      </c>
      <c r="E192" s="103">
        <v>45.0</v>
      </c>
      <c r="F192" s="104">
        <v>135.0</v>
      </c>
      <c r="G192" s="132" t="s">
        <v>793</v>
      </c>
      <c r="H192" s="168" t="s">
        <v>80</v>
      </c>
      <c r="I192" s="168" t="s">
        <v>80</v>
      </c>
      <c r="J192" s="103" t="s">
        <v>27</v>
      </c>
      <c r="K192" s="109">
        <v>2900.0</v>
      </c>
      <c r="L192" s="109">
        <v>320.0</v>
      </c>
      <c r="M192" s="110">
        <f t="shared" si="23"/>
        <v>0.361998</v>
      </c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ht="18.0" customHeight="1">
      <c r="A193" s="91"/>
      <c r="B193" s="112" t="s">
        <v>807</v>
      </c>
      <c r="C193" s="103">
        <v>30.0</v>
      </c>
      <c r="D193" s="104">
        <v>40.0</v>
      </c>
      <c r="E193" s="103">
        <v>45.0</v>
      </c>
      <c r="F193" s="104">
        <v>146.0</v>
      </c>
      <c r="G193" s="132" t="s">
        <v>793</v>
      </c>
      <c r="H193" s="168" t="s">
        <v>80</v>
      </c>
      <c r="I193" s="168" t="s">
        <v>80</v>
      </c>
      <c r="J193" s="103" t="s">
        <v>27</v>
      </c>
      <c r="K193" s="109">
        <v>2900.0</v>
      </c>
      <c r="L193" s="109">
        <v>324.0</v>
      </c>
      <c r="M193" s="110">
        <f t="shared" ref="M193:M194" si="24">0.51*0.39*1.9</f>
        <v>0.37791</v>
      </c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ht="18.0" customHeight="1">
      <c r="A194" s="91"/>
      <c r="B194" s="112" t="s">
        <v>808</v>
      </c>
      <c r="C194" s="103">
        <v>30.0</v>
      </c>
      <c r="D194" s="104">
        <v>40.0</v>
      </c>
      <c r="E194" s="103">
        <v>45.0</v>
      </c>
      <c r="F194" s="104">
        <v>154.0</v>
      </c>
      <c r="G194" s="132" t="s">
        <v>793</v>
      </c>
      <c r="H194" s="168" t="s">
        <v>80</v>
      </c>
      <c r="I194" s="168" t="s">
        <v>80</v>
      </c>
      <c r="J194" s="103" t="s">
        <v>27</v>
      </c>
      <c r="K194" s="109">
        <v>2900.0</v>
      </c>
      <c r="L194" s="109">
        <v>324.0</v>
      </c>
      <c r="M194" s="110">
        <f t="shared" si="24"/>
        <v>0.37791</v>
      </c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ht="18.0" customHeight="1">
      <c r="A195" s="91"/>
      <c r="B195" s="112" t="s">
        <v>809</v>
      </c>
      <c r="C195" s="103">
        <v>30.0</v>
      </c>
      <c r="D195" s="104">
        <v>40.0</v>
      </c>
      <c r="E195" s="103">
        <v>45.0</v>
      </c>
      <c r="F195" s="104">
        <v>166.0</v>
      </c>
      <c r="G195" s="132" t="s">
        <v>793</v>
      </c>
      <c r="H195" s="168" t="s">
        <v>80</v>
      </c>
      <c r="I195" s="168" t="s">
        <v>80</v>
      </c>
      <c r="J195" s="103" t="s">
        <v>27</v>
      </c>
      <c r="K195" s="109">
        <v>2900.0</v>
      </c>
      <c r="L195" s="109">
        <v>328.0</v>
      </c>
      <c r="M195" s="110">
        <f t="shared" ref="M195:M196" si="25">0.51*0.39*1.98</f>
        <v>0.393822</v>
      </c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ht="18.0" customHeight="1">
      <c r="A196" s="91"/>
      <c r="B196" s="112" t="s">
        <v>810</v>
      </c>
      <c r="C196" s="103">
        <v>37.0</v>
      </c>
      <c r="D196" s="104">
        <v>50.0</v>
      </c>
      <c r="E196" s="103">
        <v>45.0</v>
      </c>
      <c r="F196" s="104">
        <v>174.0</v>
      </c>
      <c r="G196" s="132" t="s">
        <v>793</v>
      </c>
      <c r="H196" s="168" t="s">
        <v>80</v>
      </c>
      <c r="I196" s="168" t="s">
        <v>80</v>
      </c>
      <c r="J196" s="103" t="s">
        <v>27</v>
      </c>
      <c r="K196" s="109">
        <v>2900.0</v>
      </c>
      <c r="L196" s="109">
        <v>352.0</v>
      </c>
      <c r="M196" s="110">
        <f t="shared" si="25"/>
        <v>0.393822</v>
      </c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ht="18.0" customHeight="1">
      <c r="A197" s="91"/>
      <c r="B197" s="112" t="s">
        <v>811</v>
      </c>
      <c r="C197" s="103">
        <v>37.0</v>
      </c>
      <c r="D197" s="104">
        <v>50.0</v>
      </c>
      <c r="E197" s="103">
        <v>45.0</v>
      </c>
      <c r="F197" s="104">
        <v>185.0</v>
      </c>
      <c r="G197" s="132" t="s">
        <v>793</v>
      </c>
      <c r="H197" s="168" t="s">
        <v>80</v>
      </c>
      <c r="I197" s="168" t="s">
        <v>80</v>
      </c>
      <c r="J197" s="103" t="s">
        <v>27</v>
      </c>
      <c r="K197" s="109">
        <v>2900.0</v>
      </c>
      <c r="L197" s="109">
        <v>355.0</v>
      </c>
      <c r="M197" s="110">
        <f t="shared" ref="M197:M198" si="26">0.51*0.39*2.06</f>
        <v>0.409734</v>
      </c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ht="18.0" customHeight="1">
      <c r="A198" s="91"/>
      <c r="B198" s="112" t="s">
        <v>812</v>
      </c>
      <c r="C198" s="103">
        <v>37.0</v>
      </c>
      <c r="D198" s="104">
        <v>50.0</v>
      </c>
      <c r="E198" s="103">
        <v>45.0</v>
      </c>
      <c r="F198" s="104">
        <v>193.0</v>
      </c>
      <c r="G198" s="132" t="s">
        <v>793</v>
      </c>
      <c r="H198" s="168" t="s">
        <v>80</v>
      </c>
      <c r="I198" s="168" t="s">
        <v>80</v>
      </c>
      <c r="J198" s="103" t="s">
        <v>27</v>
      </c>
      <c r="K198" s="109">
        <v>2900.0</v>
      </c>
      <c r="L198" s="109">
        <v>355.0</v>
      </c>
      <c r="M198" s="110">
        <f t="shared" si="26"/>
        <v>0.409734</v>
      </c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ht="18.0" customHeight="1">
      <c r="A199" s="91"/>
      <c r="B199" s="112" t="s">
        <v>813</v>
      </c>
      <c r="C199" s="103">
        <v>45.0</v>
      </c>
      <c r="D199" s="104">
        <v>60.0</v>
      </c>
      <c r="E199" s="103">
        <v>45.0</v>
      </c>
      <c r="F199" s="104">
        <v>206.0</v>
      </c>
      <c r="G199" s="132" t="s">
        <v>793</v>
      </c>
      <c r="H199" s="168" t="s">
        <v>80</v>
      </c>
      <c r="I199" s="168" t="s">
        <v>80</v>
      </c>
      <c r="J199" s="103" t="s">
        <v>27</v>
      </c>
      <c r="K199" s="109">
        <v>2900.0</v>
      </c>
      <c r="L199" s="109">
        <v>426.0</v>
      </c>
      <c r="M199" s="110">
        <f t="shared" ref="M199:M200" si="27">0.55*0.39*2.17</f>
        <v>0.465465</v>
      </c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ht="18.0" customHeight="1">
      <c r="A200" s="91"/>
      <c r="B200" s="112" t="s">
        <v>814</v>
      </c>
      <c r="C200" s="103">
        <v>45.0</v>
      </c>
      <c r="D200" s="104">
        <v>60.0</v>
      </c>
      <c r="E200" s="103">
        <v>45.0</v>
      </c>
      <c r="F200" s="104">
        <v>214.0</v>
      </c>
      <c r="G200" s="132" t="s">
        <v>793</v>
      </c>
      <c r="H200" s="168" t="s">
        <v>80</v>
      </c>
      <c r="I200" s="168" t="s">
        <v>80</v>
      </c>
      <c r="J200" s="103" t="s">
        <v>27</v>
      </c>
      <c r="K200" s="109">
        <v>2900.0</v>
      </c>
      <c r="L200" s="109">
        <v>426.0</v>
      </c>
      <c r="M200" s="110">
        <f t="shared" si="27"/>
        <v>0.465465</v>
      </c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ht="18.0" customHeight="1">
      <c r="A201" s="91"/>
      <c r="B201" s="112" t="s">
        <v>815</v>
      </c>
      <c r="C201" s="103">
        <v>45.0</v>
      </c>
      <c r="D201" s="104">
        <v>60.0</v>
      </c>
      <c r="E201" s="103">
        <v>45.0</v>
      </c>
      <c r="F201" s="104">
        <v>226.0</v>
      </c>
      <c r="G201" s="132" t="s">
        <v>793</v>
      </c>
      <c r="H201" s="168" t="s">
        <v>80</v>
      </c>
      <c r="I201" s="168" t="s">
        <v>80</v>
      </c>
      <c r="J201" s="103" t="s">
        <v>27</v>
      </c>
      <c r="K201" s="109">
        <v>2900.0</v>
      </c>
      <c r="L201" s="109">
        <v>432.0</v>
      </c>
      <c r="M201" s="110">
        <f t="shared" ref="M201:M202" si="28">0.55*0.39*2.25</f>
        <v>0.482625</v>
      </c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ht="18.0" customHeight="1">
      <c r="A202" s="91"/>
      <c r="B202" s="112" t="s">
        <v>816</v>
      </c>
      <c r="C202" s="103">
        <v>45.0</v>
      </c>
      <c r="D202" s="104">
        <v>60.0</v>
      </c>
      <c r="E202" s="103">
        <v>45.0</v>
      </c>
      <c r="F202" s="104">
        <v>236.0</v>
      </c>
      <c r="G202" s="132" t="s">
        <v>793</v>
      </c>
      <c r="H202" s="168" t="s">
        <v>80</v>
      </c>
      <c r="I202" s="168" t="s">
        <v>80</v>
      </c>
      <c r="J202" s="103" t="s">
        <v>27</v>
      </c>
      <c r="K202" s="109">
        <v>2900.0</v>
      </c>
      <c r="L202" s="109">
        <v>432.0</v>
      </c>
      <c r="M202" s="110">
        <f t="shared" si="28"/>
        <v>0.482625</v>
      </c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ht="18.0" customHeight="1">
      <c r="A203" s="91"/>
      <c r="B203" s="112" t="s">
        <v>817</v>
      </c>
      <c r="C203" s="103">
        <v>45.0</v>
      </c>
      <c r="D203" s="104">
        <v>60.0</v>
      </c>
      <c r="E203" s="103">
        <v>45.0</v>
      </c>
      <c r="F203" s="104">
        <v>247.0</v>
      </c>
      <c r="G203" s="132" t="s">
        <v>793</v>
      </c>
      <c r="H203" s="168" t="s">
        <v>80</v>
      </c>
      <c r="I203" s="168" t="s">
        <v>80</v>
      </c>
      <c r="J203" s="103" t="s">
        <v>27</v>
      </c>
      <c r="K203" s="109">
        <v>2900.0</v>
      </c>
      <c r="L203" s="109">
        <v>438.0</v>
      </c>
      <c r="M203" s="110">
        <f>0.55*0.39*2.33</f>
        <v>0.499785</v>
      </c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ht="18.0" customHeight="1">
      <c r="A204" s="91"/>
      <c r="B204" s="112" t="s">
        <v>818</v>
      </c>
      <c r="C204" s="103">
        <v>4.0</v>
      </c>
      <c r="D204" s="104">
        <v>5.5</v>
      </c>
      <c r="E204" s="103">
        <v>64.0</v>
      </c>
      <c r="F204" s="104">
        <v>13.0</v>
      </c>
      <c r="G204" s="132" t="s">
        <v>819</v>
      </c>
      <c r="H204" s="107">
        <v>1007.137634364</v>
      </c>
      <c r="I204" s="133">
        <v>1544.7026549999998</v>
      </c>
      <c r="J204" s="103" t="s">
        <v>27</v>
      </c>
      <c r="K204" s="109">
        <v>2900.0</v>
      </c>
      <c r="L204" s="109">
        <v>93.0</v>
      </c>
      <c r="M204" s="110">
        <f>0.39*0.39*0.94</f>
        <v>0.142974</v>
      </c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ht="18.0" customHeight="1">
      <c r="A205" s="91"/>
      <c r="B205" s="112" t="s">
        <v>820</v>
      </c>
      <c r="C205" s="103">
        <v>5.5</v>
      </c>
      <c r="D205" s="104">
        <v>7.5</v>
      </c>
      <c r="E205" s="103">
        <v>64.0</v>
      </c>
      <c r="F205" s="104">
        <v>20.0</v>
      </c>
      <c r="G205" s="132" t="s">
        <v>819</v>
      </c>
      <c r="H205" s="107">
        <v>1308.195226491</v>
      </c>
      <c r="I205" s="133">
        <v>1605.7141799999997</v>
      </c>
      <c r="J205" s="103" t="s">
        <v>27</v>
      </c>
      <c r="K205" s="109">
        <v>2900.0</v>
      </c>
      <c r="L205" s="109">
        <v>105.0</v>
      </c>
      <c r="M205" s="110">
        <f>0.41*0.39*0.97</f>
        <v>0.155103</v>
      </c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ht="18.0" customHeight="1">
      <c r="A206" s="91"/>
      <c r="B206" s="112" t="s">
        <v>821</v>
      </c>
      <c r="C206" s="103">
        <v>7.5</v>
      </c>
      <c r="D206" s="104">
        <v>10.0</v>
      </c>
      <c r="E206" s="103">
        <v>64.0</v>
      </c>
      <c r="F206" s="104">
        <v>26.0</v>
      </c>
      <c r="G206" s="132" t="s">
        <v>819</v>
      </c>
      <c r="H206" s="107">
        <v>1555.3018012020002</v>
      </c>
      <c r="I206" s="133">
        <v>1845.5109149999996</v>
      </c>
      <c r="J206" s="103" t="s">
        <v>27</v>
      </c>
      <c r="K206" s="109">
        <v>2900.0</v>
      </c>
      <c r="L206" s="109">
        <v>110.0</v>
      </c>
      <c r="M206" s="110">
        <f>0.41*0.39*1.05</f>
        <v>0.167895</v>
      </c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ht="18.0" customHeight="1">
      <c r="A207" s="91"/>
      <c r="B207" s="112" t="s">
        <v>822</v>
      </c>
      <c r="C207" s="103">
        <v>11.0</v>
      </c>
      <c r="D207" s="104">
        <v>15.0</v>
      </c>
      <c r="E207" s="103">
        <v>64.0</v>
      </c>
      <c r="F207" s="104">
        <v>33.0</v>
      </c>
      <c r="G207" s="132" t="s">
        <v>819</v>
      </c>
      <c r="H207" s="107">
        <v>2148.1002996449997</v>
      </c>
      <c r="I207" s="133">
        <v>2316.33276</v>
      </c>
      <c r="J207" s="103" t="s">
        <v>27</v>
      </c>
      <c r="K207" s="109">
        <v>2900.0</v>
      </c>
      <c r="L207" s="109">
        <v>182.0</v>
      </c>
      <c r="M207" s="110">
        <f t="shared" ref="M207:M208" si="29">0.46*0.39*1.27</f>
        <v>0.227838</v>
      </c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ht="18.0" customHeight="1">
      <c r="A208" s="91"/>
      <c r="B208" s="112" t="s">
        <v>823</v>
      </c>
      <c r="C208" s="103">
        <v>11.0</v>
      </c>
      <c r="D208" s="104">
        <v>15.0</v>
      </c>
      <c r="E208" s="103">
        <v>64.0</v>
      </c>
      <c r="F208" s="104">
        <v>40.0</v>
      </c>
      <c r="G208" s="132" t="s">
        <v>819</v>
      </c>
      <c r="H208" s="107">
        <v>2148.1002996449997</v>
      </c>
      <c r="I208" s="133">
        <v>2316.33276</v>
      </c>
      <c r="J208" s="103" t="s">
        <v>27</v>
      </c>
      <c r="K208" s="109">
        <v>2900.0</v>
      </c>
      <c r="L208" s="109">
        <v>182.0</v>
      </c>
      <c r="M208" s="110">
        <f t="shared" si="29"/>
        <v>0.227838</v>
      </c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ht="18.0" customHeight="1">
      <c r="A209" s="91"/>
      <c r="B209" s="112" t="s">
        <v>824</v>
      </c>
      <c r="C209" s="103">
        <v>15.0</v>
      </c>
      <c r="D209" s="104">
        <v>20.0</v>
      </c>
      <c r="E209" s="103">
        <v>64.0</v>
      </c>
      <c r="F209" s="104">
        <v>46.0</v>
      </c>
      <c r="G209" s="132" t="s">
        <v>819</v>
      </c>
      <c r="H209" s="107">
        <v>2735.2853974319996</v>
      </c>
      <c r="I209" s="133">
        <v>3143.3605499999994</v>
      </c>
      <c r="J209" s="103" t="s">
        <v>27</v>
      </c>
      <c r="K209" s="109">
        <v>2900.0</v>
      </c>
      <c r="L209" s="109">
        <v>196.0</v>
      </c>
      <c r="M209" s="110">
        <f t="shared" ref="M209:M210" si="30">0.46*0.39*1.36</f>
        <v>0.243984</v>
      </c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ht="18.0" customHeight="1">
      <c r="A210" s="91"/>
      <c r="B210" s="112" t="s">
        <v>825</v>
      </c>
      <c r="C210" s="103">
        <v>15.0</v>
      </c>
      <c r="D210" s="104">
        <v>20.0</v>
      </c>
      <c r="E210" s="103">
        <v>64.0</v>
      </c>
      <c r="F210" s="104">
        <v>53.0</v>
      </c>
      <c r="G210" s="132" t="s">
        <v>819</v>
      </c>
      <c r="H210" s="107">
        <v>2735.2853974319996</v>
      </c>
      <c r="I210" s="133">
        <v>3143.3605499999994</v>
      </c>
      <c r="J210" s="103" t="s">
        <v>27</v>
      </c>
      <c r="K210" s="109">
        <v>2900.0</v>
      </c>
      <c r="L210" s="109">
        <v>197.0</v>
      </c>
      <c r="M210" s="110">
        <f t="shared" si="30"/>
        <v>0.243984</v>
      </c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ht="18.0" customHeight="1">
      <c r="A211" s="91"/>
      <c r="B211" s="112" t="s">
        <v>826</v>
      </c>
      <c r="C211" s="103">
        <v>18.5</v>
      </c>
      <c r="D211" s="104">
        <v>25.0</v>
      </c>
      <c r="E211" s="103">
        <v>64.0</v>
      </c>
      <c r="F211" s="104">
        <v>60.0</v>
      </c>
      <c r="G211" s="132" t="s">
        <v>819</v>
      </c>
      <c r="H211" s="107">
        <v>3064.020173349</v>
      </c>
      <c r="I211" s="133">
        <v>3467.3258999999994</v>
      </c>
      <c r="J211" s="103" t="s">
        <v>27</v>
      </c>
      <c r="K211" s="109">
        <v>2900.0</v>
      </c>
      <c r="L211" s="109">
        <v>221.0</v>
      </c>
      <c r="M211" s="110">
        <f>0.46*0.39*1.41</f>
        <v>0.252954</v>
      </c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ht="18.0" customHeight="1">
      <c r="A212" s="91"/>
      <c r="B212" s="112" t="s">
        <v>827</v>
      </c>
      <c r="C212" s="103">
        <v>18.5</v>
      </c>
      <c r="D212" s="104">
        <v>25.0</v>
      </c>
      <c r="E212" s="103">
        <v>64.0</v>
      </c>
      <c r="F212" s="104">
        <v>66.0</v>
      </c>
      <c r="G212" s="132" t="s">
        <v>819</v>
      </c>
      <c r="H212" s="107">
        <v>3091.697357139</v>
      </c>
      <c r="I212" s="133">
        <v>3629.1526349999995</v>
      </c>
      <c r="J212" s="103" t="s">
        <v>27</v>
      </c>
      <c r="K212" s="109">
        <v>2900.0</v>
      </c>
      <c r="L212" s="109">
        <v>225.0</v>
      </c>
      <c r="M212" s="110">
        <f>0.46*0.39*1.49</f>
        <v>0.267306</v>
      </c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ht="18.0" customHeight="1">
      <c r="A213" s="91"/>
      <c r="B213" s="112" t="s">
        <v>828</v>
      </c>
      <c r="C213" s="103">
        <v>22.0</v>
      </c>
      <c r="D213" s="104">
        <v>30.0</v>
      </c>
      <c r="E213" s="103">
        <v>64.0</v>
      </c>
      <c r="F213" s="104">
        <v>73.0</v>
      </c>
      <c r="G213" s="132" t="s">
        <v>819</v>
      </c>
      <c r="H213" s="107">
        <v>3667.2658341240003</v>
      </c>
      <c r="I213" s="133">
        <v>4203.635595</v>
      </c>
      <c r="J213" s="103" t="s">
        <v>27</v>
      </c>
      <c r="K213" s="109">
        <v>2900.0</v>
      </c>
      <c r="L213" s="109">
        <v>258.0</v>
      </c>
      <c r="M213" s="110">
        <f t="shared" ref="M213:M214" si="31">0.49*0.39*1.51</f>
        <v>0.288561</v>
      </c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ht="18.0" customHeight="1">
      <c r="A214" s="91"/>
      <c r="B214" s="112" t="s">
        <v>829</v>
      </c>
      <c r="C214" s="103">
        <v>22.0</v>
      </c>
      <c r="D214" s="104">
        <v>30.0</v>
      </c>
      <c r="E214" s="103">
        <v>64.0</v>
      </c>
      <c r="F214" s="104">
        <v>80.0</v>
      </c>
      <c r="G214" s="132" t="s">
        <v>819</v>
      </c>
      <c r="H214" s="107">
        <v>3667.2658341240003</v>
      </c>
      <c r="I214" s="133">
        <v>4203.635595</v>
      </c>
      <c r="J214" s="103" t="s">
        <v>27</v>
      </c>
      <c r="K214" s="109">
        <v>2900.0</v>
      </c>
      <c r="L214" s="109">
        <v>258.0</v>
      </c>
      <c r="M214" s="110">
        <f t="shared" si="31"/>
        <v>0.288561</v>
      </c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ht="18.0" customHeight="1">
      <c r="A215" s="91"/>
      <c r="B215" s="112" t="s">
        <v>830</v>
      </c>
      <c r="C215" s="103">
        <v>30.0</v>
      </c>
      <c r="D215" s="104">
        <v>40.0</v>
      </c>
      <c r="E215" s="103">
        <v>64.0</v>
      </c>
      <c r="F215" s="104">
        <v>88.0</v>
      </c>
      <c r="G215" s="132" t="s">
        <v>819</v>
      </c>
      <c r="H215" s="168" t="s">
        <v>80</v>
      </c>
      <c r="I215" s="168" t="s">
        <v>80</v>
      </c>
      <c r="J215" s="103" t="s">
        <v>27</v>
      </c>
      <c r="K215" s="109">
        <v>2900.0</v>
      </c>
      <c r="L215" s="109">
        <v>319.0</v>
      </c>
      <c r="M215" s="110">
        <f t="shared" ref="M215:M217" si="32">0.51*0.39*1.67</f>
        <v>0.332163</v>
      </c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ht="18.0" customHeight="1">
      <c r="A216" s="91"/>
      <c r="B216" s="112" t="s">
        <v>831</v>
      </c>
      <c r="C216" s="103">
        <v>30.0</v>
      </c>
      <c r="D216" s="104">
        <v>40.0</v>
      </c>
      <c r="E216" s="103">
        <v>64.0</v>
      </c>
      <c r="F216" s="104">
        <v>95.0</v>
      </c>
      <c r="G216" s="132" t="s">
        <v>819</v>
      </c>
      <c r="H216" s="168" t="s">
        <v>80</v>
      </c>
      <c r="I216" s="168" t="s">
        <v>80</v>
      </c>
      <c r="J216" s="103" t="s">
        <v>27</v>
      </c>
      <c r="K216" s="109">
        <v>2900.0</v>
      </c>
      <c r="L216" s="109">
        <v>319.0</v>
      </c>
      <c r="M216" s="110">
        <f t="shared" si="32"/>
        <v>0.332163</v>
      </c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ht="18.0" customHeight="1">
      <c r="A217" s="91"/>
      <c r="B217" s="112" t="s">
        <v>832</v>
      </c>
      <c r="C217" s="103">
        <v>30.0</v>
      </c>
      <c r="D217" s="104">
        <v>40.0</v>
      </c>
      <c r="E217" s="103">
        <v>64.0</v>
      </c>
      <c r="F217" s="104">
        <v>102.0</v>
      </c>
      <c r="G217" s="132" t="s">
        <v>819</v>
      </c>
      <c r="H217" s="168" t="s">
        <v>80</v>
      </c>
      <c r="I217" s="168" t="s">
        <v>80</v>
      </c>
      <c r="J217" s="103" t="s">
        <v>27</v>
      </c>
      <c r="K217" s="109">
        <v>2900.0</v>
      </c>
      <c r="L217" s="109">
        <v>320.0</v>
      </c>
      <c r="M217" s="110">
        <f t="shared" si="32"/>
        <v>0.332163</v>
      </c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ht="18.0" customHeight="1">
      <c r="A218" s="91"/>
      <c r="B218" s="112" t="s">
        <v>833</v>
      </c>
      <c r="C218" s="103">
        <v>30.0</v>
      </c>
      <c r="D218" s="104">
        <v>40.0</v>
      </c>
      <c r="E218" s="103">
        <v>64.0</v>
      </c>
      <c r="F218" s="104">
        <v>110.0</v>
      </c>
      <c r="G218" s="132" t="s">
        <v>819</v>
      </c>
      <c r="H218" s="168" t="s">
        <v>80</v>
      </c>
      <c r="I218" s="168" t="s">
        <v>80</v>
      </c>
      <c r="J218" s="103" t="s">
        <v>27</v>
      </c>
      <c r="K218" s="109">
        <v>2900.0</v>
      </c>
      <c r="L218" s="109">
        <v>325.0</v>
      </c>
      <c r="M218" s="110">
        <f t="shared" ref="M218:M220" si="33">0.51*0.39*1.75</f>
        <v>0.348075</v>
      </c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ht="18.0" customHeight="1">
      <c r="A219" s="91"/>
      <c r="B219" s="112" t="s">
        <v>834</v>
      </c>
      <c r="C219" s="103">
        <v>37.0</v>
      </c>
      <c r="D219" s="104">
        <v>50.0</v>
      </c>
      <c r="E219" s="103">
        <v>64.0</v>
      </c>
      <c r="F219" s="104">
        <v>117.0</v>
      </c>
      <c r="G219" s="132" t="s">
        <v>819</v>
      </c>
      <c r="H219" s="168" t="s">
        <v>80</v>
      </c>
      <c r="I219" s="168" t="s">
        <v>80</v>
      </c>
      <c r="J219" s="103" t="s">
        <v>27</v>
      </c>
      <c r="K219" s="109">
        <v>2900.0</v>
      </c>
      <c r="L219" s="109">
        <v>349.0</v>
      </c>
      <c r="M219" s="110">
        <f t="shared" si="33"/>
        <v>0.348075</v>
      </c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ht="18.0" customHeight="1">
      <c r="A220" s="91"/>
      <c r="B220" s="112" t="s">
        <v>835</v>
      </c>
      <c r="C220" s="103">
        <v>37.0</v>
      </c>
      <c r="D220" s="104">
        <v>50.0</v>
      </c>
      <c r="E220" s="103">
        <v>64.0</v>
      </c>
      <c r="F220" s="104">
        <v>124.0</v>
      </c>
      <c r="G220" s="132" t="s">
        <v>819</v>
      </c>
      <c r="H220" s="168" t="s">
        <v>80</v>
      </c>
      <c r="I220" s="168" t="s">
        <v>80</v>
      </c>
      <c r="J220" s="103" t="s">
        <v>27</v>
      </c>
      <c r="K220" s="109">
        <v>2900.0</v>
      </c>
      <c r="L220" s="109">
        <v>349.0</v>
      </c>
      <c r="M220" s="110">
        <f t="shared" si="33"/>
        <v>0.348075</v>
      </c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ht="18.0" customHeight="1">
      <c r="A221" s="91"/>
      <c r="B221" s="112" t="s">
        <v>836</v>
      </c>
      <c r="C221" s="103">
        <v>37.0</v>
      </c>
      <c r="D221" s="104">
        <v>50.0</v>
      </c>
      <c r="E221" s="103">
        <v>64.0</v>
      </c>
      <c r="F221" s="104">
        <v>132.0</v>
      </c>
      <c r="G221" s="132" t="s">
        <v>819</v>
      </c>
      <c r="H221" s="168" t="s">
        <v>80</v>
      </c>
      <c r="I221" s="168" t="s">
        <v>80</v>
      </c>
      <c r="J221" s="103" t="s">
        <v>27</v>
      </c>
      <c r="K221" s="109">
        <v>2900.0</v>
      </c>
      <c r="L221" s="109">
        <v>353.0</v>
      </c>
      <c r="M221" s="110">
        <f t="shared" ref="M221:M222" si="34">0.51*0.39*1.84</f>
        <v>0.365976</v>
      </c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ht="18.0" customHeight="1">
      <c r="A222" s="91"/>
      <c r="B222" s="112" t="s">
        <v>837</v>
      </c>
      <c r="C222" s="103">
        <v>37.0</v>
      </c>
      <c r="D222" s="104">
        <v>50.0</v>
      </c>
      <c r="E222" s="103">
        <v>64.0</v>
      </c>
      <c r="F222" s="104">
        <v>139.0</v>
      </c>
      <c r="G222" s="132" t="s">
        <v>819</v>
      </c>
      <c r="H222" s="168" t="s">
        <v>80</v>
      </c>
      <c r="I222" s="168" t="s">
        <v>80</v>
      </c>
      <c r="J222" s="103" t="s">
        <v>27</v>
      </c>
      <c r="K222" s="109">
        <v>2900.0</v>
      </c>
      <c r="L222" s="109">
        <v>353.0</v>
      </c>
      <c r="M222" s="110">
        <f t="shared" si="34"/>
        <v>0.365976</v>
      </c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ht="18.0" customHeight="1">
      <c r="A223" s="91"/>
      <c r="B223" s="112" t="s">
        <v>838</v>
      </c>
      <c r="C223" s="103">
        <v>45.0</v>
      </c>
      <c r="D223" s="104">
        <v>60.0</v>
      </c>
      <c r="E223" s="103">
        <v>64.0</v>
      </c>
      <c r="F223" s="104">
        <v>146.0</v>
      </c>
      <c r="G223" s="132" t="s">
        <v>819</v>
      </c>
      <c r="H223" s="168" t="s">
        <v>80</v>
      </c>
      <c r="I223" s="168" t="s">
        <v>80</v>
      </c>
      <c r="J223" s="103" t="s">
        <v>27</v>
      </c>
      <c r="K223" s="109">
        <v>2900.0</v>
      </c>
      <c r="L223" s="109">
        <v>420.0</v>
      </c>
      <c r="M223" s="110">
        <f>0.54*0.39*1.87</f>
        <v>0.393822</v>
      </c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ht="18.0" customHeight="1">
      <c r="A224" s="91"/>
      <c r="B224" s="112" t="s">
        <v>839</v>
      </c>
      <c r="C224" s="103">
        <v>45.0</v>
      </c>
      <c r="D224" s="104">
        <v>60.0</v>
      </c>
      <c r="E224" s="103">
        <v>64.0</v>
      </c>
      <c r="F224" s="104">
        <v>154.0</v>
      </c>
      <c r="G224" s="132" t="s">
        <v>819</v>
      </c>
      <c r="H224" s="168" t="s">
        <v>80</v>
      </c>
      <c r="I224" s="168" t="s">
        <v>80</v>
      </c>
      <c r="J224" s="103" t="s">
        <v>27</v>
      </c>
      <c r="K224" s="109">
        <v>2900.0</v>
      </c>
      <c r="L224" s="109">
        <v>424.0</v>
      </c>
      <c r="M224" s="110">
        <f t="shared" ref="M224:M225" si="35">0.54*0.39*1.95</f>
        <v>0.41067</v>
      </c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ht="18.0" customHeight="1">
      <c r="A225" s="91"/>
      <c r="B225" s="112" t="s">
        <v>840</v>
      </c>
      <c r="C225" s="103">
        <v>45.0</v>
      </c>
      <c r="D225" s="104">
        <v>60.0</v>
      </c>
      <c r="E225" s="103">
        <v>64.0</v>
      </c>
      <c r="F225" s="104">
        <v>161.0</v>
      </c>
      <c r="G225" s="132" t="s">
        <v>819</v>
      </c>
      <c r="H225" s="168" t="s">
        <v>80</v>
      </c>
      <c r="I225" s="168" t="s">
        <v>80</v>
      </c>
      <c r="J225" s="103" t="s">
        <v>27</v>
      </c>
      <c r="K225" s="109">
        <v>2900.0</v>
      </c>
      <c r="L225" s="109">
        <v>424.0</v>
      </c>
      <c r="M225" s="110">
        <f t="shared" si="35"/>
        <v>0.41067</v>
      </c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ht="18.0" customHeight="1">
      <c r="A226" s="91"/>
      <c r="B226" s="112" t="s">
        <v>841</v>
      </c>
      <c r="C226" s="103">
        <v>5.5</v>
      </c>
      <c r="D226" s="104">
        <v>7.5</v>
      </c>
      <c r="E226" s="103">
        <v>90.0</v>
      </c>
      <c r="F226" s="104">
        <v>13.0</v>
      </c>
      <c r="G226" s="132" t="s">
        <v>819</v>
      </c>
      <c r="H226" s="107">
        <v>1794.2221666229998</v>
      </c>
      <c r="I226" s="133">
        <v>2318.593889999999</v>
      </c>
      <c r="J226" s="103" t="s">
        <v>27</v>
      </c>
      <c r="K226" s="109">
        <v>2900.0</v>
      </c>
      <c r="L226" s="109">
        <v>105.0</v>
      </c>
      <c r="M226" s="110">
        <f t="shared" ref="M226:M227" si="36">0.42*0.41*0.98</f>
        <v>0.168756</v>
      </c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ht="18.0" customHeight="1">
      <c r="A227" s="91"/>
      <c r="B227" s="112" t="s">
        <v>842</v>
      </c>
      <c r="C227" s="103">
        <v>7.5</v>
      </c>
      <c r="D227" s="104">
        <v>10.0</v>
      </c>
      <c r="E227" s="103">
        <v>90.0</v>
      </c>
      <c r="F227" s="104">
        <v>19.0</v>
      </c>
      <c r="G227" s="132" t="s">
        <v>819</v>
      </c>
      <c r="H227" s="107">
        <v>1947.8890095809993</v>
      </c>
      <c r="I227" s="133">
        <v>2470.01163</v>
      </c>
      <c r="J227" s="103" t="s">
        <v>27</v>
      </c>
      <c r="K227" s="109">
        <v>2900.0</v>
      </c>
      <c r="L227" s="109">
        <v>110.0</v>
      </c>
      <c r="M227" s="110">
        <f t="shared" si="36"/>
        <v>0.168756</v>
      </c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ht="18.0" customHeight="1">
      <c r="A228" s="91"/>
      <c r="B228" s="112" t="s">
        <v>843</v>
      </c>
      <c r="C228" s="103">
        <v>11.0</v>
      </c>
      <c r="D228" s="104">
        <v>15.0</v>
      </c>
      <c r="E228" s="103">
        <v>90.0</v>
      </c>
      <c r="F228" s="104">
        <v>28.0</v>
      </c>
      <c r="G228" s="132" t="s">
        <v>819</v>
      </c>
      <c r="H228" s="107">
        <v>2149.542631758</v>
      </c>
      <c r="I228" s="133">
        <v>2730.9772199999998</v>
      </c>
      <c r="J228" s="103" t="s">
        <v>27</v>
      </c>
      <c r="K228" s="109">
        <v>2900.0</v>
      </c>
      <c r="L228" s="109">
        <v>181.0</v>
      </c>
      <c r="M228" s="110">
        <f t="shared" ref="M228:M229" si="37">0.47*0.41*1.29</f>
        <v>0.248583</v>
      </c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ht="18.0" customHeight="1">
      <c r="A229" s="91"/>
      <c r="B229" s="112" t="s">
        <v>844</v>
      </c>
      <c r="C229" s="103">
        <v>15.0</v>
      </c>
      <c r="D229" s="104">
        <v>20.0</v>
      </c>
      <c r="E229" s="103">
        <v>90.0</v>
      </c>
      <c r="F229" s="104">
        <v>40.0</v>
      </c>
      <c r="G229" s="132" t="s">
        <v>819</v>
      </c>
      <c r="H229" s="107">
        <v>2801.944530222</v>
      </c>
      <c r="I229" s="133">
        <v>3336.80412</v>
      </c>
      <c r="J229" s="103" t="s">
        <v>27</v>
      </c>
      <c r="K229" s="109">
        <v>2900.0</v>
      </c>
      <c r="L229" s="109">
        <v>192.0</v>
      </c>
      <c r="M229" s="110">
        <f t="shared" si="37"/>
        <v>0.248583</v>
      </c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ht="18.0" customHeight="1">
      <c r="A230" s="91"/>
      <c r="B230" s="112" t="s">
        <v>845</v>
      </c>
      <c r="C230" s="103">
        <v>18.5</v>
      </c>
      <c r="D230" s="104">
        <v>25.0</v>
      </c>
      <c r="E230" s="103">
        <v>90.0</v>
      </c>
      <c r="F230" s="104">
        <v>49.0</v>
      </c>
      <c r="G230" s="132" t="s">
        <v>819</v>
      </c>
      <c r="H230" s="107">
        <v>3234.020452938</v>
      </c>
      <c r="I230" s="133">
        <v>3865.8305699999996</v>
      </c>
      <c r="J230" s="103" t="s">
        <v>27</v>
      </c>
      <c r="K230" s="109">
        <v>2900.0</v>
      </c>
      <c r="L230" s="109">
        <v>215.0</v>
      </c>
      <c r="M230" s="110">
        <f>0.47*0.41*1.44</f>
        <v>0.277488</v>
      </c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ht="18.0" customHeight="1">
      <c r="A231" s="91"/>
      <c r="B231" s="112" t="s">
        <v>846</v>
      </c>
      <c r="C231" s="103">
        <v>22.0</v>
      </c>
      <c r="D231" s="104">
        <v>30.0</v>
      </c>
      <c r="E231" s="103">
        <v>90.0</v>
      </c>
      <c r="F231" s="104">
        <v>62.0</v>
      </c>
      <c r="G231" s="132" t="s">
        <v>819</v>
      </c>
      <c r="H231" s="107">
        <v>3555.7384780350003</v>
      </c>
      <c r="I231" s="133">
        <v>4194.318179999999</v>
      </c>
      <c r="J231" s="103" t="s">
        <v>27</v>
      </c>
      <c r="K231" s="109">
        <v>2900.0</v>
      </c>
      <c r="L231" s="109">
        <v>252.0</v>
      </c>
      <c r="M231" s="110">
        <f>0.5*0.41*1.46</f>
        <v>0.2993</v>
      </c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ht="18.0" customHeight="1">
      <c r="A232" s="91"/>
      <c r="B232" s="112" t="s">
        <v>847</v>
      </c>
      <c r="C232" s="103">
        <v>30.0</v>
      </c>
      <c r="D232" s="104">
        <v>40.0</v>
      </c>
      <c r="E232" s="103">
        <v>90.0</v>
      </c>
      <c r="F232" s="104">
        <v>72.0</v>
      </c>
      <c r="G232" s="132" t="s">
        <v>819</v>
      </c>
      <c r="H232" s="168" t="s">
        <v>80</v>
      </c>
      <c r="I232" s="168" t="s">
        <v>80</v>
      </c>
      <c r="J232" s="103" t="s">
        <v>27</v>
      </c>
      <c r="K232" s="109">
        <v>2900.0</v>
      </c>
      <c r="L232" s="109">
        <v>312.0</v>
      </c>
      <c r="M232" s="110">
        <f t="shared" ref="M232:M233" si="38">0.52*0.41*1.63</f>
        <v>0.347516</v>
      </c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ht="18.0" customHeight="1">
      <c r="A233" s="91"/>
      <c r="B233" s="112" t="s">
        <v>848</v>
      </c>
      <c r="C233" s="103">
        <v>30.0</v>
      </c>
      <c r="D233" s="104">
        <v>40.0</v>
      </c>
      <c r="E233" s="103">
        <v>90.0</v>
      </c>
      <c r="F233" s="104">
        <v>84.0</v>
      </c>
      <c r="G233" s="132" t="s">
        <v>819</v>
      </c>
      <c r="H233" s="168" t="s">
        <v>80</v>
      </c>
      <c r="I233" s="168" t="s">
        <v>80</v>
      </c>
      <c r="J233" s="103" t="s">
        <v>27</v>
      </c>
      <c r="K233" s="109">
        <v>2900.0</v>
      </c>
      <c r="L233" s="109">
        <v>312.0</v>
      </c>
      <c r="M233" s="110">
        <f t="shared" si="38"/>
        <v>0.347516</v>
      </c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ht="18.0" customHeight="1">
      <c r="A234" s="91"/>
      <c r="B234" s="112" t="s">
        <v>849</v>
      </c>
      <c r="C234" s="103">
        <v>37.0</v>
      </c>
      <c r="D234" s="104">
        <v>50.0</v>
      </c>
      <c r="E234" s="103">
        <v>90.0</v>
      </c>
      <c r="F234" s="104">
        <v>93.0</v>
      </c>
      <c r="G234" s="132" t="s">
        <v>819</v>
      </c>
      <c r="H234" s="168" t="s">
        <v>80</v>
      </c>
      <c r="I234" s="168" t="s">
        <v>80</v>
      </c>
      <c r="J234" s="103" t="s">
        <v>27</v>
      </c>
      <c r="K234" s="109">
        <v>2900.0</v>
      </c>
      <c r="L234" s="109">
        <v>336.0</v>
      </c>
      <c r="M234" s="110">
        <f t="shared" ref="M234:M235" si="39">0.52*0.41*1.72</f>
        <v>0.366704</v>
      </c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ht="18.0" customHeight="1">
      <c r="A235" s="91"/>
      <c r="B235" s="112" t="s">
        <v>850</v>
      </c>
      <c r="C235" s="103">
        <v>37.0</v>
      </c>
      <c r="D235" s="104">
        <v>50.0</v>
      </c>
      <c r="E235" s="103">
        <v>90.0</v>
      </c>
      <c r="F235" s="104">
        <v>106.0</v>
      </c>
      <c r="G235" s="132" t="s">
        <v>819</v>
      </c>
      <c r="H235" s="168" t="s">
        <v>80</v>
      </c>
      <c r="I235" s="168" t="s">
        <v>80</v>
      </c>
      <c r="J235" s="103" t="s">
        <v>27</v>
      </c>
      <c r="K235" s="109">
        <v>2900.0</v>
      </c>
      <c r="L235" s="109">
        <v>336.0</v>
      </c>
      <c r="M235" s="110">
        <f t="shared" si="39"/>
        <v>0.366704</v>
      </c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ht="18.0" customHeight="1">
      <c r="A236" s="91"/>
      <c r="B236" s="112" t="s">
        <v>851</v>
      </c>
      <c r="C236" s="103">
        <v>45.0</v>
      </c>
      <c r="D236" s="104">
        <v>60.0</v>
      </c>
      <c r="E236" s="103">
        <v>90.0</v>
      </c>
      <c r="F236" s="104">
        <v>117.0</v>
      </c>
      <c r="G236" s="132" t="s">
        <v>819</v>
      </c>
      <c r="H236" s="168" t="s">
        <v>80</v>
      </c>
      <c r="I236" s="168" t="s">
        <v>80</v>
      </c>
      <c r="J236" s="103" t="s">
        <v>27</v>
      </c>
      <c r="K236" s="109">
        <v>2900.0</v>
      </c>
      <c r="L236" s="109">
        <v>407.0</v>
      </c>
      <c r="M236" s="110">
        <f t="shared" ref="M236:M237" si="40">0.55*0.41*1.85</f>
        <v>0.417175</v>
      </c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ht="18.0" customHeight="1">
      <c r="A237" s="91"/>
      <c r="B237" s="112" t="s">
        <v>852</v>
      </c>
      <c r="C237" s="103">
        <v>45.0</v>
      </c>
      <c r="D237" s="104">
        <v>60.0</v>
      </c>
      <c r="E237" s="103">
        <v>90.0</v>
      </c>
      <c r="F237" s="104">
        <v>130.0</v>
      </c>
      <c r="G237" s="132" t="s">
        <v>819</v>
      </c>
      <c r="H237" s="168" t="s">
        <v>80</v>
      </c>
      <c r="I237" s="168" t="s">
        <v>80</v>
      </c>
      <c r="J237" s="103" t="s">
        <v>27</v>
      </c>
      <c r="K237" s="109">
        <v>2900.0</v>
      </c>
      <c r="L237" s="109">
        <v>407.0</v>
      </c>
      <c r="M237" s="110">
        <f t="shared" si="40"/>
        <v>0.417175</v>
      </c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ht="7.5" customHeight="1">
      <c r="A238" s="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69" t="s">
        <v>853</v>
      </c>
      <c r="C239" s="170" t="s">
        <v>854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44"/>
      <c r="N239" s="77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69" t="s">
        <v>855</v>
      </c>
      <c r="C240" s="85" t="s">
        <v>856</v>
      </c>
      <c r="D240" s="83"/>
      <c r="E240" s="84"/>
      <c r="F240" s="84"/>
      <c r="G240" s="84"/>
      <c r="H240" s="84"/>
      <c r="I240" s="84"/>
      <c r="J240" s="84"/>
      <c r="K240" s="84"/>
      <c r="L240" s="84"/>
      <c r="M240" s="8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78" t="s">
        <v>126</v>
      </c>
      <c r="C241" s="79" t="s">
        <v>374</v>
      </c>
      <c r="D241" s="80"/>
      <c r="E241" s="81"/>
      <c r="F241" s="81"/>
      <c r="G241" s="81"/>
      <c r="H241" s="81"/>
      <c r="I241" s="81"/>
      <c r="J241" s="81"/>
      <c r="K241" s="81"/>
      <c r="L241" s="81"/>
      <c r="M241" s="8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78" t="s">
        <v>128</v>
      </c>
      <c r="C242" s="79" t="s">
        <v>857</v>
      </c>
      <c r="D242" s="80"/>
      <c r="E242" s="81"/>
      <c r="F242" s="81"/>
      <c r="G242" s="81"/>
      <c r="H242" s="81"/>
      <c r="I242" s="81"/>
      <c r="J242" s="81"/>
      <c r="K242" s="81"/>
      <c r="L242" s="81"/>
      <c r="M242" s="8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82" t="s">
        <v>130</v>
      </c>
      <c r="C243" s="79" t="s">
        <v>131</v>
      </c>
      <c r="D243" s="83"/>
      <c r="E243" s="84"/>
      <c r="F243" s="84"/>
      <c r="G243" s="84"/>
      <c r="H243" s="84"/>
      <c r="I243" s="84"/>
      <c r="J243" s="84"/>
      <c r="K243" s="84"/>
      <c r="L243" s="84"/>
      <c r="M243" s="8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82" t="s">
        <v>132</v>
      </c>
      <c r="C244" s="85" t="s">
        <v>858</v>
      </c>
      <c r="D244" s="83"/>
      <c r="E244" s="84"/>
      <c r="F244" s="84"/>
      <c r="G244" s="84"/>
      <c r="H244" s="84"/>
      <c r="I244" s="84"/>
      <c r="J244" s="84"/>
      <c r="K244" s="84"/>
      <c r="L244" s="84"/>
      <c r="M244" s="8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82" t="s">
        <v>134</v>
      </c>
      <c r="C245" s="85" t="s">
        <v>135</v>
      </c>
      <c r="D245" s="83"/>
      <c r="E245" s="84"/>
      <c r="F245" s="84"/>
      <c r="G245" s="84"/>
      <c r="H245" s="84"/>
      <c r="I245" s="84"/>
      <c r="J245" s="84"/>
      <c r="K245" s="84"/>
      <c r="L245" s="84"/>
      <c r="M245" s="8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82" t="s">
        <v>859</v>
      </c>
      <c r="C246" s="85" t="s">
        <v>614</v>
      </c>
      <c r="D246" s="83"/>
      <c r="E246" s="84"/>
      <c r="F246" s="84"/>
      <c r="G246" s="84"/>
      <c r="H246" s="84"/>
      <c r="I246" s="84"/>
      <c r="J246" s="84"/>
      <c r="K246" s="84"/>
      <c r="L246" s="84"/>
      <c r="M246" s="8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C8:D9"/>
    <mergeCell ref="C239:M239"/>
    <mergeCell ref="B6:M6"/>
    <mergeCell ref="B8:B10"/>
    <mergeCell ref="E8:F8"/>
    <mergeCell ref="J8:J10"/>
    <mergeCell ref="K8:K9"/>
    <mergeCell ref="A21:A22"/>
    <mergeCell ref="A34:A3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1" width="9.44"/>
    <col customWidth="1" min="12" max="13" width="7.44"/>
    <col customWidth="1" min="14" max="14" width="17.89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6"/>
      <c r="M4" s="8" t="s">
        <v>0</v>
      </c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11"/>
      <c r="K5" s="11"/>
      <c r="L5" s="11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13"/>
      <c r="B6" s="14" t="s">
        <v>860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6.75" customHeight="1">
      <c r="A7" s="18"/>
      <c r="B7" s="20"/>
      <c r="C7" s="20"/>
      <c r="D7" s="20"/>
      <c r="E7" s="20"/>
      <c r="F7" s="20"/>
      <c r="G7" s="20"/>
      <c r="H7" s="20"/>
      <c r="I7" s="20"/>
      <c r="J7" s="2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8.0" customHeight="1">
      <c r="A8" s="21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28" t="s">
        <v>7</v>
      </c>
      <c r="I8" s="26"/>
      <c r="J8" s="29" t="s">
        <v>8</v>
      </c>
      <c r="K8" s="30" t="s">
        <v>9</v>
      </c>
      <c r="L8" s="31" t="s">
        <v>10</v>
      </c>
      <c r="M8" s="32" t="s">
        <v>11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8.0" customHeight="1">
      <c r="A9" s="33" t="s">
        <v>861</v>
      </c>
      <c r="B9" s="34"/>
      <c r="C9" s="35"/>
      <c r="D9" s="36"/>
      <c r="E9" s="37" t="s">
        <v>13</v>
      </c>
      <c r="F9" s="38" t="s">
        <v>14</v>
      </c>
      <c r="G9" s="172"/>
      <c r="H9" s="173"/>
      <c r="I9" s="123"/>
      <c r="J9" s="42"/>
      <c r="K9" s="43"/>
      <c r="L9" s="44"/>
      <c r="M9" s="44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8.0" customHeight="1">
      <c r="A10" s="21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74" t="s">
        <v>20</v>
      </c>
      <c r="I10" s="166" t="s">
        <v>21</v>
      </c>
      <c r="J10" s="51"/>
      <c r="K10" s="52" t="s">
        <v>22</v>
      </c>
      <c r="L10" s="53" t="s">
        <v>23</v>
      </c>
      <c r="M10" s="54" t="s">
        <v>24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8.0" customHeight="1">
      <c r="A11" s="21"/>
      <c r="B11" s="56" t="s">
        <v>862</v>
      </c>
      <c r="C11" s="57">
        <v>1.1</v>
      </c>
      <c r="D11" s="58">
        <v>1.5</v>
      </c>
      <c r="E11" s="57">
        <v>12.0</v>
      </c>
      <c r="F11" s="58">
        <v>18.4</v>
      </c>
      <c r="G11" s="59" t="s">
        <v>26</v>
      </c>
      <c r="H11" s="175">
        <v>501.5810099999999</v>
      </c>
      <c r="I11" s="176">
        <v>477.0204599999999</v>
      </c>
      <c r="J11" s="57" t="s">
        <v>27</v>
      </c>
      <c r="K11" s="62">
        <v>2900.0</v>
      </c>
      <c r="L11" s="62">
        <v>19.6</v>
      </c>
      <c r="M11" s="66">
        <f t="shared" ref="M11:M13" si="1">0.43*0.34*0.27</f>
        <v>0.039474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8.0" customHeight="1">
      <c r="A12" s="21"/>
      <c r="B12" s="56" t="s">
        <v>863</v>
      </c>
      <c r="C12" s="57">
        <v>1.5</v>
      </c>
      <c r="D12" s="58">
        <v>2.0</v>
      </c>
      <c r="E12" s="57">
        <v>12.0</v>
      </c>
      <c r="F12" s="58">
        <v>24.5</v>
      </c>
      <c r="G12" s="59" t="s">
        <v>26</v>
      </c>
      <c r="H12" s="175">
        <v>517.6818149999999</v>
      </c>
      <c r="I12" s="176">
        <v>493.12126499999994</v>
      </c>
      <c r="J12" s="57" t="s">
        <v>27</v>
      </c>
      <c r="K12" s="62">
        <v>2900.0</v>
      </c>
      <c r="L12" s="62">
        <v>22.5</v>
      </c>
      <c r="M12" s="66">
        <f t="shared" si="1"/>
        <v>0.039474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8.0" customHeight="1">
      <c r="A13" s="18"/>
      <c r="B13" s="56" t="s">
        <v>864</v>
      </c>
      <c r="C13" s="57">
        <v>2.2</v>
      </c>
      <c r="D13" s="58">
        <v>3.0</v>
      </c>
      <c r="E13" s="57">
        <v>12.0</v>
      </c>
      <c r="F13" s="58">
        <v>32.0</v>
      </c>
      <c r="G13" s="59" t="s">
        <v>26</v>
      </c>
      <c r="H13" s="60">
        <v>583.176615</v>
      </c>
      <c r="I13" s="176">
        <v>555.6142199999999</v>
      </c>
      <c r="J13" s="57" t="s">
        <v>27</v>
      </c>
      <c r="K13" s="62">
        <v>2900.0</v>
      </c>
      <c r="L13" s="62">
        <v>24.6</v>
      </c>
      <c r="M13" s="66">
        <f t="shared" si="1"/>
        <v>0.039474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8.0" customHeight="1">
      <c r="A14" s="18"/>
      <c r="B14" s="56" t="s">
        <v>865</v>
      </c>
      <c r="C14" s="57">
        <v>3.0</v>
      </c>
      <c r="D14" s="58">
        <v>4.0</v>
      </c>
      <c r="E14" s="57">
        <v>15.0</v>
      </c>
      <c r="F14" s="58">
        <v>35.0</v>
      </c>
      <c r="G14" s="59" t="s">
        <v>26</v>
      </c>
      <c r="H14" s="60">
        <v>750.46125</v>
      </c>
      <c r="I14" s="176">
        <v>692.8804049999998</v>
      </c>
      <c r="J14" s="57" t="s">
        <v>27</v>
      </c>
      <c r="K14" s="62">
        <v>2900.0</v>
      </c>
      <c r="L14" s="62">
        <v>32.8</v>
      </c>
      <c r="M14" s="66">
        <f t="shared" ref="M14:M15" si="2">0.45*0.39*0.32</f>
        <v>0.05616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8.0" customHeight="1">
      <c r="A15" s="18"/>
      <c r="B15" s="56" t="s">
        <v>866</v>
      </c>
      <c r="C15" s="57">
        <v>4.0</v>
      </c>
      <c r="D15" s="58">
        <v>5.5</v>
      </c>
      <c r="E15" s="57">
        <v>18.0</v>
      </c>
      <c r="F15" s="58">
        <v>43.5</v>
      </c>
      <c r="G15" s="59" t="s">
        <v>26</v>
      </c>
      <c r="H15" s="60">
        <v>0.0</v>
      </c>
      <c r="I15" s="176">
        <v>784.3002299999998</v>
      </c>
      <c r="J15" s="57" t="s">
        <v>27</v>
      </c>
      <c r="K15" s="62">
        <v>2900.0</v>
      </c>
      <c r="L15" s="62">
        <v>39.5</v>
      </c>
      <c r="M15" s="66">
        <f t="shared" si="2"/>
        <v>0.05616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8.0" customHeight="1">
      <c r="A16" s="21"/>
      <c r="B16" s="56" t="s">
        <v>867</v>
      </c>
      <c r="C16" s="57">
        <v>5.5</v>
      </c>
      <c r="D16" s="58">
        <v>7.5</v>
      </c>
      <c r="E16" s="57">
        <v>18.0</v>
      </c>
      <c r="F16" s="58">
        <v>58.5</v>
      </c>
      <c r="G16" s="59" t="s">
        <v>26</v>
      </c>
      <c r="H16" s="60">
        <v>0.0</v>
      </c>
      <c r="I16" s="176">
        <v>891.547965</v>
      </c>
      <c r="J16" s="57" t="s">
        <v>27</v>
      </c>
      <c r="K16" s="62">
        <v>2900.0</v>
      </c>
      <c r="L16" s="62">
        <v>48.5</v>
      </c>
      <c r="M16" s="66">
        <f>0.5*0.39*0.32</f>
        <v>0.0624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8.0" customHeight="1">
      <c r="A17" s="21"/>
      <c r="B17" s="56" t="s">
        <v>868</v>
      </c>
      <c r="C17" s="57">
        <v>1.5</v>
      </c>
      <c r="D17" s="58">
        <v>2.0</v>
      </c>
      <c r="E17" s="57">
        <v>20.0</v>
      </c>
      <c r="F17" s="58">
        <v>17.0</v>
      </c>
      <c r="G17" s="59" t="s">
        <v>43</v>
      </c>
      <c r="H17" s="60">
        <v>566.2571249999999</v>
      </c>
      <c r="I17" s="176">
        <v>539.24052</v>
      </c>
      <c r="J17" s="57" t="s">
        <v>27</v>
      </c>
      <c r="K17" s="62">
        <v>2900.0</v>
      </c>
      <c r="L17" s="62">
        <v>20.1</v>
      </c>
      <c r="M17" s="66">
        <f t="shared" ref="M17:M18" si="3">0.43*0.34*0.27</f>
        <v>0.039474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8.0" customHeight="1">
      <c r="A18" s="21"/>
      <c r="B18" s="56" t="s">
        <v>869</v>
      </c>
      <c r="C18" s="57">
        <v>2.2</v>
      </c>
      <c r="D18" s="58">
        <v>3.0</v>
      </c>
      <c r="E18" s="57">
        <v>20.0</v>
      </c>
      <c r="F18" s="58">
        <v>23.5</v>
      </c>
      <c r="G18" s="59" t="s">
        <v>43</v>
      </c>
      <c r="H18" s="60">
        <v>638.5742999999999</v>
      </c>
      <c r="I18" s="176">
        <v>608.0100599999998</v>
      </c>
      <c r="J18" s="57" t="s">
        <v>27</v>
      </c>
      <c r="K18" s="62">
        <v>2900.0</v>
      </c>
      <c r="L18" s="62">
        <v>22.7</v>
      </c>
      <c r="M18" s="66">
        <f t="shared" si="3"/>
        <v>0.039474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8.0" customHeight="1">
      <c r="A19" s="21"/>
      <c r="B19" s="56" t="s">
        <v>870</v>
      </c>
      <c r="C19" s="57">
        <v>3.0</v>
      </c>
      <c r="D19" s="58">
        <v>4.0</v>
      </c>
      <c r="E19" s="57">
        <v>22.0</v>
      </c>
      <c r="F19" s="58">
        <v>26.5</v>
      </c>
      <c r="G19" s="59" t="s">
        <v>43</v>
      </c>
      <c r="H19" s="60">
        <v>760.8312599999998</v>
      </c>
      <c r="I19" s="176">
        <v>699.9756749999999</v>
      </c>
      <c r="J19" s="57" t="s">
        <v>27</v>
      </c>
      <c r="K19" s="62">
        <v>2900.0</v>
      </c>
      <c r="L19" s="62">
        <v>28.0</v>
      </c>
      <c r="M19" s="66">
        <f t="shared" ref="M19:M20" si="4">0.45*0.39*0.32</f>
        <v>0.05616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8.0" customHeight="1">
      <c r="A20" s="21"/>
      <c r="B20" s="56" t="s">
        <v>871</v>
      </c>
      <c r="C20" s="57">
        <v>4.0</v>
      </c>
      <c r="D20" s="58">
        <v>5.5</v>
      </c>
      <c r="E20" s="57">
        <v>22.0</v>
      </c>
      <c r="F20" s="58">
        <v>35.0</v>
      </c>
      <c r="G20" s="59" t="s">
        <v>43</v>
      </c>
      <c r="H20" s="60">
        <v>0.0</v>
      </c>
      <c r="I20" s="176">
        <v>790.8497099999998</v>
      </c>
      <c r="J20" s="57" t="s">
        <v>27</v>
      </c>
      <c r="K20" s="62">
        <v>2900.0</v>
      </c>
      <c r="L20" s="62">
        <v>35.1</v>
      </c>
      <c r="M20" s="66">
        <f t="shared" si="4"/>
        <v>0.05616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8.0" customHeight="1">
      <c r="A21" s="21"/>
      <c r="B21" s="56" t="s">
        <v>872</v>
      </c>
      <c r="C21" s="57">
        <v>5.5</v>
      </c>
      <c r="D21" s="58">
        <v>7.5</v>
      </c>
      <c r="E21" s="57">
        <v>24.0</v>
      </c>
      <c r="F21" s="58">
        <v>41.0</v>
      </c>
      <c r="G21" s="59" t="s">
        <v>43</v>
      </c>
      <c r="H21" s="60">
        <v>0.0</v>
      </c>
      <c r="I21" s="176">
        <v>886.635855</v>
      </c>
      <c r="J21" s="57" t="s">
        <v>27</v>
      </c>
      <c r="K21" s="62">
        <v>2900.0</v>
      </c>
      <c r="L21" s="62">
        <v>48.8</v>
      </c>
      <c r="M21" s="66">
        <f t="shared" ref="M21:M22" si="5">0.52*0.39*0.32</f>
        <v>0.064896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8.0" customHeight="1">
      <c r="A22" s="21"/>
      <c r="B22" s="69" t="s">
        <v>873</v>
      </c>
      <c r="C22" s="57">
        <v>7.5</v>
      </c>
      <c r="D22" s="58">
        <v>10.0</v>
      </c>
      <c r="E22" s="57">
        <v>24.0</v>
      </c>
      <c r="F22" s="58">
        <v>53.5</v>
      </c>
      <c r="G22" s="59" t="s">
        <v>43</v>
      </c>
      <c r="H22" s="60">
        <v>0.0</v>
      </c>
      <c r="I22" s="176">
        <v>973.6893599999999</v>
      </c>
      <c r="J22" s="57" t="s">
        <v>27</v>
      </c>
      <c r="K22" s="62">
        <v>2900.0</v>
      </c>
      <c r="L22" s="62">
        <v>56.2</v>
      </c>
      <c r="M22" s="66">
        <f t="shared" si="5"/>
        <v>0.064896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8.0" customHeight="1">
      <c r="A23" s="21"/>
      <c r="B23" s="69" t="s">
        <v>874</v>
      </c>
      <c r="C23" s="57">
        <v>11.0</v>
      </c>
      <c r="D23" s="58">
        <v>15.0</v>
      </c>
      <c r="E23" s="57">
        <v>24.0</v>
      </c>
      <c r="F23" s="58">
        <v>68.5</v>
      </c>
      <c r="G23" s="59" t="s">
        <v>43</v>
      </c>
      <c r="H23" s="60">
        <v>0.0</v>
      </c>
      <c r="I23" s="176">
        <v>1337.7312899999997</v>
      </c>
      <c r="J23" s="57" t="s">
        <v>27</v>
      </c>
      <c r="K23" s="62">
        <v>2900.0</v>
      </c>
      <c r="L23" s="62">
        <v>67.5</v>
      </c>
      <c r="M23" s="66">
        <f>0.61*0.45*0.32</f>
        <v>0.08784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8.0" customHeight="1">
      <c r="A24" s="21"/>
      <c r="B24" s="69" t="s">
        <v>875</v>
      </c>
      <c r="C24" s="57">
        <v>2.2</v>
      </c>
      <c r="D24" s="58">
        <v>3.0</v>
      </c>
      <c r="E24" s="57">
        <v>36.0</v>
      </c>
      <c r="F24" s="58">
        <v>14.9</v>
      </c>
      <c r="G24" s="59" t="s">
        <v>55</v>
      </c>
      <c r="H24" s="60">
        <v>570.3505499999999</v>
      </c>
      <c r="I24" s="176">
        <v>543.0610499999999</v>
      </c>
      <c r="J24" s="57" t="s">
        <v>27</v>
      </c>
      <c r="K24" s="62">
        <v>2900.0</v>
      </c>
      <c r="L24" s="62">
        <v>28.1</v>
      </c>
      <c r="M24" s="66">
        <f t="shared" ref="M24:M26" si="6">0.45*0.39*0.32</f>
        <v>0.05616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8.0" customHeight="1">
      <c r="A25" s="55"/>
      <c r="B25" s="69" t="s">
        <v>876</v>
      </c>
      <c r="C25" s="57">
        <v>3.0</v>
      </c>
      <c r="D25" s="58">
        <v>4.0</v>
      </c>
      <c r="E25" s="57">
        <v>36.0</v>
      </c>
      <c r="F25" s="58">
        <v>18.4</v>
      </c>
      <c r="G25" s="59" t="s">
        <v>55</v>
      </c>
      <c r="H25" s="60">
        <v>770.6554799999999</v>
      </c>
      <c r="I25" s="176">
        <v>707.0709449999999</v>
      </c>
      <c r="J25" s="57" t="s">
        <v>27</v>
      </c>
      <c r="K25" s="62">
        <v>2900.0</v>
      </c>
      <c r="L25" s="62">
        <v>28.6</v>
      </c>
      <c r="M25" s="66">
        <f t="shared" si="6"/>
        <v>0.05616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8.0" customHeight="1">
      <c r="A26" s="21"/>
      <c r="B26" s="56" t="s">
        <v>877</v>
      </c>
      <c r="C26" s="57">
        <v>4.0</v>
      </c>
      <c r="D26" s="58">
        <v>5.5</v>
      </c>
      <c r="E26" s="57">
        <v>36.0</v>
      </c>
      <c r="F26" s="58">
        <v>24.0</v>
      </c>
      <c r="G26" s="59" t="s">
        <v>55</v>
      </c>
      <c r="H26" s="177">
        <v>0.0</v>
      </c>
      <c r="I26" s="176">
        <v>798.4907699999998</v>
      </c>
      <c r="J26" s="57" t="s">
        <v>27</v>
      </c>
      <c r="K26" s="62">
        <v>2900.0</v>
      </c>
      <c r="L26" s="62">
        <v>35.2</v>
      </c>
      <c r="M26" s="66">
        <f t="shared" si="6"/>
        <v>0.05616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8.0" customHeight="1">
      <c r="A27" s="21"/>
      <c r="B27" s="56" t="s">
        <v>878</v>
      </c>
      <c r="C27" s="57">
        <v>5.5</v>
      </c>
      <c r="D27" s="58">
        <v>7.5</v>
      </c>
      <c r="E27" s="57">
        <v>42.0</v>
      </c>
      <c r="F27" s="58">
        <v>27.0</v>
      </c>
      <c r="G27" s="59" t="s">
        <v>55</v>
      </c>
      <c r="H27" s="177">
        <v>0.0</v>
      </c>
      <c r="I27" s="176">
        <v>895.3684949999997</v>
      </c>
      <c r="J27" s="57" t="s">
        <v>27</v>
      </c>
      <c r="K27" s="62">
        <v>2900.0</v>
      </c>
      <c r="L27" s="62">
        <v>49.1</v>
      </c>
      <c r="M27" s="66">
        <f t="shared" ref="M27:M28" si="7">0.52*0.39*0.32</f>
        <v>0.064896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8.0" customHeight="1">
      <c r="A28" s="21"/>
      <c r="B28" s="56" t="s">
        <v>879</v>
      </c>
      <c r="C28" s="57">
        <v>7.5</v>
      </c>
      <c r="D28" s="58">
        <v>10.0</v>
      </c>
      <c r="E28" s="57">
        <v>42.0</v>
      </c>
      <c r="F28" s="58">
        <v>35.0</v>
      </c>
      <c r="G28" s="59" t="s">
        <v>55</v>
      </c>
      <c r="H28" s="177">
        <v>0.0</v>
      </c>
      <c r="I28" s="176">
        <v>983.2406849999998</v>
      </c>
      <c r="J28" s="57" t="s">
        <v>27</v>
      </c>
      <c r="K28" s="62">
        <v>2900.0</v>
      </c>
      <c r="L28" s="62">
        <v>55.5</v>
      </c>
      <c r="M28" s="66">
        <f t="shared" si="7"/>
        <v>0.064896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8.0" customHeight="1">
      <c r="A29" s="21"/>
      <c r="B29" s="56" t="s">
        <v>880</v>
      </c>
      <c r="C29" s="57">
        <v>9.2</v>
      </c>
      <c r="D29" s="58">
        <v>12.5</v>
      </c>
      <c r="E29" s="57">
        <v>42.0</v>
      </c>
      <c r="F29" s="58">
        <v>47.5</v>
      </c>
      <c r="G29" s="59" t="s">
        <v>55</v>
      </c>
      <c r="H29" s="177">
        <v>0.0</v>
      </c>
      <c r="I29" s="176">
        <v>1303.8923099999997</v>
      </c>
      <c r="J29" s="57" t="s">
        <v>27</v>
      </c>
      <c r="K29" s="62">
        <v>2900.0</v>
      </c>
      <c r="L29" s="62">
        <v>61.7</v>
      </c>
      <c r="M29" s="66">
        <f t="shared" ref="M29:M30" si="8">0.61*0.45*0.32</f>
        <v>0.08784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8.0" customHeight="1">
      <c r="A30" s="21"/>
      <c r="B30" s="56" t="s">
        <v>881</v>
      </c>
      <c r="C30" s="57">
        <v>11.0</v>
      </c>
      <c r="D30" s="58">
        <v>15.0</v>
      </c>
      <c r="E30" s="57">
        <v>50.0</v>
      </c>
      <c r="F30" s="58">
        <v>51.5</v>
      </c>
      <c r="G30" s="59" t="s">
        <v>55</v>
      </c>
      <c r="H30" s="177">
        <v>0.0</v>
      </c>
      <c r="I30" s="176">
        <v>1351.3760399999996</v>
      </c>
      <c r="J30" s="57" t="s">
        <v>27</v>
      </c>
      <c r="K30" s="62">
        <v>2900.0</v>
      </c>
      <c r="L30" s="62">
        <v>67.5</v>
      </c>
      <c r="M30" s="66">
        <f t="shared" si="8"/>
        <v>0.08784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8.0" customHeight="1">
      <c r="A31" s="21"/>
      <c r="B31" s="56" t="s">
        <v>882</v>
      </c>
      <c r="C31" s="57">
        <v>15.0</v>
      </c>
      <c r="D31" s="58">
        <v>20.0</v>
      </c>
      <c r="E31" s="57">
        <v>50.0</v>
      </c>
      <c r="F31" s="58">
        <v>65.0</v>
      </c>
      <c r="G31" s="59" t="s">
        <v>55</v>
      </c>
      <c r="H31" s="177">
        <v>0.0</v>
      </c>
      <c r="I31" s="176">
        <v>1691.9489999999998</v>
      </c>
      <c r="J31" s="57" t="s">
        <v>27</v>
      </c>
      <c r="K31" s="62">
        <v>2900.0</v>
      </c>
      <c r="L31" s="62">
        <v>96.0</v>
      </c>
      <c r="M31" s="66">
        <f>0.74*0.47*0.32</f>
        <v>0.111296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8.0" customHeight="1">
      <c r="A32" s="21"/>
      <c r="B32" s="56" t="s">
        <v>883</v>
      </c>
      <c r="C32" s="57">
        <v>4.0</v>
      </c>
      <c r="D32" s="58">
        <v>5.5</v>
      </c>
      <c r="E32" s="57">
        <v>54.0</v>
      </c>
      <c r="F32" s="58">
        <v>17.3</v>
      </c>
      <c r="G32" s="59" t="s">
        <v>67</v>
      </c>
      <c r="H32" s="177">
        <v>0.0</v>
      </c>
      <c r="I32" s="176">
        <v>806.6776199999998</v>
      </c>
      <c r="J32" s="57" t="s">
        <v>27</v>
      </c>
      <c r="K32" s="62">
        <v>2900.0</v>
      </c>
      <c r="L32" s="62">
        <v>40.0</v>
      </c>
      <c r="M32" s="66">
        <f>0.45*0.39*0.32</f>
        <v>0.05616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8.0" customHeight="1">
      <c r="A33" s="21"/>
      <c r="B33" s="56" t="s">
        <v>884</v>
      </c>
      <c r="C33" s="57">
        <v>5.5</v>
      </c>
      <c r="D33" s="58">
        <v>7.5</v>
      </c>
      <c r="E33" s="57">
        <v>72.0</v>
      </c>
      <c r="F33" s="58">
        <v>18.5</v>
      </c>
      <c r="G33" s="59" t="s">
        <v>67</v>
      </c>
      <c r="H33" s="177">
        <v>0.0</v>
      </c>
      <c r="I33" s="176">
        <v>903.8282399999998</v>
      </c>
      <c r="J33" s="57" t="s">
        <v>27</v>
      </c>
      <c r="K33" s="62">
        <v>2900.0</v>
      </c>
      <c r="L33" s="62">
        <v>52.0</v>
      </c>
      <c r="M33" s="66">
        <f t="shared" ref="M33:M34" si="9">0.52*0.39*0.32</f>
        <v>0.064896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8.0" customHeight="1">
      <c r="A34" s="21"/>
      <c r="B34" s="56" t="s">
        <v>885</v>
      </c>
      <c r="C34" s="57">
        <v>7.5</v>
      </c>
      <c r="D34" s="58">
        <v>10.0</v>
      </c>
      <c r="E34" s="57">
        <v>72.0</v>
      </c>
      <c r="F34" s="58">
        <v>24.0</v>
      </c>
      <c r="G34" s="59" t="s">
        <v>67</v>
      </c>
      <c r="H34" s="177">
        <v>0.0</v>
      </c>
      <c r="I34" s="176">
        <v>993.3377999999998</v>
      </c>
      <c r="J34" s="57" t="s">
        <v>27</v>
      </c>
      <c r="K34" s="62">
        <v>2900.0</v>
      </c>
      <c r="L34" s="62">
        <v>58.5</v>
      </c>
      <c r="M34" s="66">
        <f t="shared" si="9"/>
        <v>0.064896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8.0" customHeight="1">
      <c r="A35" s="21"/>
      <c r="B35" s="56" t="s">
        <v>886</v>
      </c>
      <c r="C35" s="57">
        <v>9.2</v>
      </c>
      <c r="D35" s="58">
        <v>12.5</v>
      </c>
      <c r="E35" s="57">
        <v>114.0</v>
      </c>
      <c r="F35" s="58">
        <v>21.1</v>
      </c>
      <c r="G35" s="59" t="s">
        <v>67</v>
      </c>
      <c r="H35" s="177">
        <v>0.0</v>
      </c>
      <c r="I35" s="176">
        <v>1316.718375</v>
      </c>
      <c r="J35" s="57" t="s">
        <v>27</v>
      </c>
      <c r="K35" s="62">
        <v>2900.0</v>
      </c>
      <c r="L35" s="62">
        <v>67.0</v>
      </c>
      <c r="M35" s="66">
        <f t="shared" ref="M35:M36" si="10">0.61*0.45*0.32</f>
        <v>0.08784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8.0" customHeight="1">
      <c r="A36" s="21"/>
      <c r="B36" s="56" t="s">
        <v>887</v>
      </c>
      <c r="C36" s="57">
        <v>11.0</v>
      </c>
      <c r="D36" s="58">
        <v>15.0</v>
      </c>
      <c r="E36" s="57">
        <v>114.0</v>
      </c>
      <c r="F36" s="58">
        <v>25.8</v>
      </c>
      <c r="G36" s="59" t="s">
        <v>67</v>
      </c>
      <c r="H36" s="177">
        <v>0.0</v>
      </c>
      <c r="I36" s="176">
        <v>1364.7478949999997</v>
      </c>
      <c r="J36" s="57" t="s">
        <v>27</v>
      </c>
      <c r="K36" s="62">
        <v>2900.0</v>
      </c>
      <c r="L36" s="62">
        <v>75.6</v>
      </c>
      <c r="M36" s="66">
        <f t="shared" si="10"/>
        <v>0.08784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8.0" customHeight="1">
      <c r="A37" s="21"/>
      <c r="B37" s="70" t="s">
        <v>888</v>
      </c>
      <c r="C37" s="57">
        <v>15.0</v>
      </c>
      <c r="D37" s="58">
        <v>20.0</v>
      </c>
      <c r="E37" s="57">
        <v>114.0</v>
      </c>
      <c r="F37" s="58">
        <v>32.6</v>
      </c>
      <c r="G37" s="59" t="s">
        <v>67</v>
      </c>
      <c r="H37" s="177">
        <v>0.0</v>
      </c>
      <c r="I37" s="176">
        <v>1708.5955949999995</v>
      </c>
      <c r="J37" s="57" t="s">
        <v>27</v>
      </c>
      <c r="K37" s="62">
        <v>2900.0</v>
      </c>
      <c r="L37" s="62">
        <v>93.0</v>
      </c>
      <c r="M37" s="66">
        <f>0.74*0.47*0.32</f>
        <v>0.111296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8.0" customHeight="1">
      <c r="A38" s="21"/>
      <c r="B38" s="70" t="s">
        <v>889</v>
      </c>
      <c r="C38" s="57">
        <v>15.0</v>
      </c>
      <c r="D38" s="58">
        <v>20.0</v>
      </c>
      <c r="E38" s="57">
        <v>114.0</v>
      </c>
      <c r="F38" s="58">
        <v>35.3</v>
      </c>
      <c r="G38" s="59" t="s">
        <v>67</v>
      </c>
      <c r="H38" s="177">
        <v>0.0</v>
      </c>
      <c r="I38" s="176">
        <v>1725.7879799999996</v>
      </c>
      <c r="J38" s="57" t="s">
        <v>27</v>
      </c>
      <c r="K38" s="62">
        <v>2900.0</v>
      </c>
      <c r="L38" s="62">
        <v>114.0</v>
      </c>
      <c r="M38" s="66">
        <f t="shared" ref="M38:M40" si="11">0.75*0.52*0.37</f>
        <v>0.1443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8.0" customHeight="1">
      <c r="A39" s="21"/>
      <c r="B39" s="70" t="s">
        <v>890</v>
      </c>
      <c r="C39" s="57">
        <v>18.5</v>
      </c>
      <c r="D39" s="58">
        <v>25.0</v>
      </c>
      <c r="E39" s="57">
        <v>114.0</v>
      </c>
      <c r="F39" s="58">
        <v>43.0</v>
      </c>
      <c r="G39" s="59" t="s">
        <v>67</v>
      </c>
      <c r="H39" s="177">
        <v>0.0</v>
      </c>
      <c r="I39" s="176">
        <v>1852.9570499999998</v>
      </c>
      <c r="J39" s="57" t="s">
        <v>27</v>
      </c>
      <c r="K39" s="62">
        <v>2900.0</v>
      </c>
      <c r="L39" s="62">
        <v>127.0</v>
      </c>
      <c r="M39" s="66">
        <f t="shared" si="11"/>
        <v>0.1443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8.0" customHeight="1">
      <c r="A40" s="21"/>
      <c r="B40" s="70" t="s">
        <v>891</v>
      </c>
      <c r="C40" s="57">
        <v>22.0</v>
      </c>
      <c r="D40" s="58">
        <v>30.0</v>
      </c>
      <c r="E40" s="57">
        <v>126.0</v>
      </c>
      <c r="F40" s="58">
        <v>48.0</v>
      </c>
      <c r="G40" s="59" t="s">
        <v>67</v>
      </c>
      <c r="H40" s="177">
        <v>0.0</v>
      </c>
      <c r="I40" s="176">
        <v>1957.475835</v>
      </c>
      <c r="J40" s="57" t="s">
        <v>27</v>
      </c>
      <c r="K40" s="62">
        <v>2900.0</v>
      </c>
      <c r="L40" s="62">
        <v>136.0</v>
      </c>
      <c r="M40" s="66">
        <f t="shared" si="11"/>
        <v>0.1443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8.0" customHeight="1">
      <c r="A41" s="21"/>
      <c r="B41" s="70" t="s">
        <v>892</v>
      </c>
      <c r="C41" s="57">
        <v>11.0</v>
      </c>
      <c r="D41" s="58">
        <v>15.0</v>
      </c>
      <c r="E41" s="57">
        <v>132.0</v>
      </c>
      <c r="F41" s="58">
        <v>22.4</v>
      </c>
      <c r="G41" s="59" t="s">
        <v>85</v>
      </c>
      <c r="H41" s="177">
        <v>0.0</v>
      </c>
      <c r="I41" s="176">
        <v>1378.3926449999997</v>
      </c>
      <c r="J41" s="57" t="s">
        <v>27</v>
      </c>
      <c r="K41" s="62">
        <v>2900.0</v>
      </c>
      <c r="L41" s="62">
        <v>85.0</v>
      </c>
      <c r="M41" s="66">
        <f>0.72*0.52*0.37</f>
        <v>0.138528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8.0" customHeight="1">
      <c r="A42" s="21"/>
      <c r="B42" s="70" t="s">
        <v>893</v>
      </c>
      <c r="C42" s="57">
        <v>15.0</v>
      </c>
      <c r="D42" s="58">
        <v>20.0</v>
      </c>
      <c r="E42" s="57">
        <v>138.0</v>
      </c>
      <c r="F42" s="58">
        <v>29.4</v>
      </c>
      <c r="G42" s="59" t="s">
        <v>85</v>
      </c>
      <c r="H42" s="177">
        <v>0.0</v>
      </c>
      <c r="I42" s="176">
        <v>1725.7879799999996</v>
      </c>
      <c r="J42" s="57" t="s">
        <v>27</v>
      </c>
      <c r="K42" s="62">
        <v>2900.0</v>
      </c>
      <c r="L42" s="62">
        <v>119.0</v>
      </c>
      <c r="M42" s="66">
        <f t="shared" ref="M42:M43" si="12">0.85*0.52*0.37</f>
        <v>0.16354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8.0" customHeight="1">
      <c r="A43" s="21"/>
      <c r="B43" s="70" t="s">
        <v>894</v>
      </c>
      <c r="C43" s="57">
        <v>18.5</v>
      </c>
      <c r="D43" s="58">
        <v>25.0</v>
      </c>
      <c r="E43" s="57">
        <v>150.0</v>
      </c>
      <c r="F43" s="58">
        <v>33.5</v>
      </c>
      <c r="G43" s="59" t="s">
        <v>85</v>
      </c>
      <c r="H43" s="177">
        <v>0.0</v>
      </c>
      <c r="I43" s="176">
        <v>1871.2410149999996</v>
      </c>
      <c r="J43" s="57" t="s">
        <v>27</v>
      </c>
      <c r="K43" s="62">
        <v>2900.0</v>
      </c>
      <c r="L43" s="62">
        <v>135.0</v>
      </c>
      <c r="M43" s="66">
        <f t="shared" si="12"/>
        <v>0.16354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8.0" customHeight="1">
      <c r="A44" s="21"/>
      <c r="B44" s="70" t="s">
        <v>895</v>
      </c>
      <c r="C44" s="57">
        <v>22.0</v>
      </c>
      <c r="D44" s="58">
        <v>30.0</v>
      </c>
      <c r="E44" s="57">
        <v>138.0</v>
      </c>
      <c r="F44" s="58">
        <v>41.0</v>
      </c>
      <c r="G44" s="59" t="s">
        <v>85</v>
      </c>
      <c r="H44" s="177">
        <v>0.0</v>
      </c>
      <c r="I44" s="176">
        <v>2468.3352749999995</v>
      </c>
      <c r="J44" s="57" t="s">
        <v>27</v>
      </c>
      <c r="K44" s="62">
        <v>2900.0</v>
      </c>
      <c r="L44" s="62">
        <v>185.0</v>
      </c>
      <c r="M44" s="66">
        <f>0.94*0.56*0.42</f>
        <v>0.221088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8.0" customHeight="1">
      <c r="A45" s="21"/>
      <c r="B45" s="70" t="s">
        <v>896</v>
      </c>
      <c r="C45" s="57">
        <v>30.0</v>
      </c>
      <c r="D45" s="58">
        <v>40.0</v>
      </c>
      <c r="E45" s="57">
        <v>170.0</v>
      </c>
      <c r="F45" s="58">
        <v>48.0</v>
      </c>
      <c r="G45" s="59" t="s">
        <v>85</v>
      </c>
      <c r="H45" s="177">
        <v>0.0</v>
      </c>
      <c r="I45" s="176">
        <v>3079.3471799999993</v>
      </c>
      <c r="J45" s="57" t="s">
        <v>27</v>
      </c>
      <c r="K45" s="62">
        <v>2900.0</v>
      </c>
      <c r="L45" s="62">
        <v>265.0</v>
      </c>
      <c r="M45" s="66">
        <f t="shared" ref="M45:M46" si="13">1.01*0.56*0.42</f>
        <v>0.237552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8.0" customHeight="1">
      <c r="A46" s="21"/>
      <c r="B46" s="70" t="s">
        <v>897</v>
      </c>
      <c r="C46" s="57">
        <v>37.0</v>
      </c>
      <c r="D46" s="58">
        <v>50.0</v>
      </c>
      <c r="E46" s="57">
        <v>180.0</v>
      </c>
      <c r="F46" s="58">
        <v>51.0</v>
      </c>
      <c r="G46" s="59" t="s">
        <v>85</v>
      </c>
      <c r="H46" s="177">
        <v>0.0</v>
      </c>
      <c r="I46" s="176">
        <v>3395.359589999999</v>
      </c>
      <c r="J46" s="57" t="s">
        <v>27</v>
      </c>
      <c r="K46" s="62">
        <v>2900.0</v>
      </c>
      <c r="L46" s="62">
        <v>285.0</v>
      </c>
      <c r="M46" s="66">
        <f t="shared" si="13"/>
        <v>0.237552</v>
      </c>
      <c r="N46" s="18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7.5" customHeight="1">
      <c r="A47" s="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73" t="s">
        <v>124</v>
      </c>
      <c r="C48" s="74" t="s">
        <v>898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1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78" t="s">
        <v>126</v>
      </c>
      <c r="C49" s="79" t="s">
        <v>898</v>
      </c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1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78" t="s">
        <v>128</v>
      </c>
      <c r="C50" s="79" t="s">
        <v>899</v>
      </c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1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82" t="s">
        <v>130</v>
      </c>
      <c r="C51" s="79" t="s">
        <v>131</v>
      </c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1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82" t="s">
        <v>132</v>
      </c>
      <c r="C52" s="85" t="s">
        <v>375</v>
      </c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1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82" t="s">
        <v>134</v>
      </c>
      <c r="C53" s="85" t="s">
        <v>135</v>
      </c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1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82" t="s">
        <v>613</v>
      </c>
      <c r="C54" s="85" t="s">
        <v>614</v>
      </c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1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8">
    <mergeCell ref="B6:M6"/>
    <mergeCell ref="B8:B10"/>
    <mergeCell ref="C8:D9"/>
    <mergeCell ref="E8:F8"/>
    <mergeCell ref="H8:I8"/>
    <mergeCell ref="J8:J10"/>
    <mergeCell ref="K8:K9"/>
    <mergeCell ref="H9:I9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1" width="9.44"/>
    <col customWidth="1" min="12" max="13" width="7.44"/>
    <col customWidth="1" min="14" max="14" width="9.0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6"/>
      <c r="M4" s="8" t="s">
        <v>0</v>
      </c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11"/>
      <c r="K5" s="11"/>
      <c r="L5" s="11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1"/>
      <c r="B6" s="114" t="s">
        <v>900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92"/>
      <c r="C7" s="92"/>
      <c r="D7" s="92"/>
      <c r="E7" s="92"/>
      <c r="F7" s="92"/>
      <c r="G7" s="92"/>
      <c r="H7" s="92"/>
      <c r="I7" s="92"/>
      <c r="J7" s="92"/>
      <c r="K7" s="1"/>
      <c r="L7" s="178"/>
      <c r="M7" s="17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28" t="s">
        <v>7</v>
      </c>
      <c r="I8" s="26"/>
      <c r="J8" s="29" t="s">
        <v>8</v>
      </c>
      <c r="K8" s="30" t="s">
        <v>9</v>
      </c>
      <c r="L8" s="31" t="s">
        <v>10</v>
      </c>
      <c r="M8" s="32" t="s">
        <v>11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901</v>
      </c>
      <c r="B9" s="34"/>
      <c r="C9" s="35"/>
      <c r="D9" s="36"/>
      <c r="E9" s="37" t="s">
        <v>13</v>
      </c>
      <c r="F9" s="38" t="s">
        <v>14</v>
      </c>
      <c r="G9" s="172"/>
      <c r="H9" s="173"/>
      <c r="I9" s="123"/>
      <c r="J9" s="42"/>
      <c r="K9" s="43"/>
      <c r="L9" s="44"/>
      <c r="M9" s="4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74" t="s">
        <v>20</v>
      </c>
      <c r="I10" s="166" t="s">
        <v>21</v>
      </c>
      <c r="J10" s="51"/>
      <c r="K10" s="52" t="s">
        <v>22</v>
      </c>
      <c r="L10" s="53" t="s">
        <v>23</v>
      </c>
      <c r="M10" s="54" t="s">
        <v>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39" t="s">
        <v>902</v>
      </c>
      <c r="C11" s="103">
        <v>0.75</v>
      </c>
      <c r="D11" s="104">
        <v>1.0</v>
      </c>
      <c r="E11" s="103">
        <v>12.0</v>
      </c>
      <c r="F11" s="104">
        <v>15.0</v>
      </c>
      <c r="G11" s="132" t="s">
        <v>143</v>
      </c>
      <c r="H11" s="152">
        <v>200.65579499999998</v>
      </c>
      <c r="I11" s="179">
        <v>194.22326999999999</v>
      </c>
      <c r="J11" s="103" t="s">
        <v>903</v>
      </c>
      <c r="K11" s="109">
        <v>2900.0</v>
      </c>
      <c r="L11" s="109">
        <v>17.0</v>
      </c>
      <c r="M11" s="110">
        <v>0.028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77"/>
      <c r="B12" s="139" t="s">
        <v>904</v>
      </c>
      <c r="C12" s="103">
        <v>1.1</v>
      </c>
      <c r="D12" s="104">
        <v>1.5</v>
      </c>
      <c r="E12" s="103">
        <v>15.0</v>
      </c>
      <c r="F12" s="104">
        <v>17.0</v>
      </c>
      <c r="G12" s="132" t="s">
        <v>143</v>
      </c>
      <c r="H12" s="152">
        <v>218.70584999999997</v>
      </c>
      <c r="I12" s="179">
        <v>208.99858499999996</v>
      </c>
      <c r="J12" s="103" t="s">
        <v>903</v>
      </c>
      <c r="K12" s="109">
        <v>2900.0</v>
      </c>
      <c r="L12" s="109">
        <v>18.9</v>
      </c>
      <c r="M12" s="110">
        <v>0.028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77"/>
      <c r="B13" s="139" t="s">
        <v>905</v>
      </c>
      <c r="C13" s="103">
        <v>1.5</v>
      </c>
      <c r="D13" s="104">
        <v>2.0</v>
      </c>
      <c r="E13" s="103">
        <v>15.0</v>
      </c>
      <c r="F13" s="104">
        <v>20.0</v>
      </c>
      <c r="G13" s="132" t="s">
        <v>143</v>
      </c>
      <c r="H13" s="152">
        <v>256.6382549999999</v>
      </c>
      <c r="I13" s="179">
        <v>243.69523499999997</v>
      </c>
      <c r="J13" s="103" t="s">
        <v>903</v>
      </c>
      <c r="K13" s="109">
        <v>2900.0</v>
      </c>
      <c r="L13" s="109">
        <v>20.9</v>
      </c>
      <c r="M13" s="110">
        <v>0.028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8.0" customHeight="1">
      <c r="A14" s="77"/>
      <c r="B14" s="139" t="s">
        <v>906</v>
      </c>
      <c r="C14" s="103">
        <v>2.2</v>
      </c>
      <c r="D14" s="104">
        <v>3.0</v>
      </c>
      <c r="E14" s="103">
        <v>18.0</v>
      </c>
      <c r="F14" s="104">
        <v>28.0</v>
      </c>
      <c r="G14" s="132" t="s">
        <v>143</v>
      </c>
      <c r="H14" s="152">
        <v>356.43985499999997</v>
      </c>
      <c r="I14" s="179">
        <v>339.20848499999994</v>
      </c>
      <c r="J14" s="103" t="s">
        <v>903</v>
      </c>
      <c r="K14" s="109">
        <v>2900.0</v>
      </c>
      <c r="L14" s="109">
        <v>28.5</v>
      </c>
      <c r="M14" s="110">
        <v>0.046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77"/>
      <c r="B15" s="139" t="s">
        <v>907</v>
      </c>
      <c r="C15" s="103">
        <v>3.0</v>
      </c>
      <c r="D15" s="104">
        <v>4.0</v>
      </c>
      <c r="E15" s="103">
        <v>18.0</v>
      </c>
      <c r="F15" s="104">
        <v>33.5</v>
      </c>
      <c r="G15" s="132" t="s">
        <v>143</v>
      </c>
      <c r="H15" s="152">
        <v>398.9335049999999</v>
      </c>
      <c r="I15" s="179">
        <v>379.83085499999993</v>
      </c>
      <c r="J15" s="103" t="s">
        <v>903</v>
      </c>
      <c r="K15" s="109">
        <v>2900.0</v>
      </c>
      <c r="L15" s="109">
        <v>32.3</v>
      </c>
      <c r="M15" s="110">
        <v>0.046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8.0" customHeight="1">
      <c r="A16" s="77"/>
      <c r="B16" s="139" t="s">
        <v>908</v>
      </c>
      <c r="C16" s="103">
        <v>4.0</v>
      </c>
      <c r="D16" s="104">
        <v>5.5</v>
      </c>
      <c r="E16" s="103">
        <v>21.0</v>
      </c>
      <c r="F16" s="104">
        <v>45.0</v>
      </c>
      <c r="G16" s="132" t="s">
        <v>143</v>
      </c>
      <c r="H16" s="106">
        <v>601.2266699999999</v>
      </c>
      <c r="I16" s="179">
        <v>560.8771949999999</v>
      </c>
      <c r="J16" s="103" t="s">
        <v>903</v>
      </c>
      <c r="K16" s="109">
        <v>2900.0</v>
      </c>
      <c r="L16" s="109">
        <v>42.0</v>
      </c>
      <c r="M16" s="110">
        <v>0.058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77"/>
      <c r="B17" s="139" t="s">
        <v>909</v>
      </c>
      <c r="C17" s="103">
        <v>5.5</v>
      </c>
      <c r="D17" s="104">
        <v>7.5</v>
      </c>
      <c r="E17" s="103">
        <v>21.0</v>
      </c>
      <c r="F17" s="104">
        <v>55.0</v>
      </c>
      <c r="G17" s="132" t="s">
        <v>143</v>
      </c>
      <c r="H17" s="106">
        <v>0.0</v>
      </c>
      <c r="I17" s="179">
        <v>584.8139849999999</v>
      </c>
      <c r="J17" s="103" t="s">
        <v>903</v>
      </c>
      <c r="K17" s="109">
        <v>2900.0</v>
      </c>
      <c r="L17" s="109">
        <v>47.0</v>
      </c>
      <c r="M17" s="110">
        <v>0.058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77"/>
      <c r="B18" s="139" t="s">
        <v>910</v>
      </c>
      <c r="C18" s="103">
        <v>1.1</v>
      </c>
      <c r="D18" s="104">
        <v>1.5</v>
      </c>
      <c r="E18" s="103">
        <v>30.0</v>
      </c>
      <c r="F18" s="104">
        <v>10.2</v>
      </c>
      <c r="G18" s="132" t="s">
        <v>161</v>
      </c>
      <c r="H18" s="152">
        <v>261.74528999999995</v>
      </c>
      <c r="I18" s="179">
        <v>250.98542999999992</v>
      </c>
      <c r="J18" s="103" t="s">
        <v>903</v>
      </c>
      <c r="K18" s="109">
        <v>2900.0</v>
      </c>
      <c r="L18" s="109">
        <v>24.0</v>
      </c>
      <c r="M18" s="110">
        <v>0.041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77"/>
      <c r="B19" s="139" t="s">
        <v>911</v>
      </c>
      <c r="C19" s="103">
        <v>1.5</v>
      </c>
      <c r="D19" s="104">
        <v>2.0</v>
      </c>
      <c r="E19" s="103">
        <v>30.0</v>
      </c>
      <c r="F19" s="104">
        <v>12.8</v>
      </c>
      <c r="G19" s="132" t="s">
        <v>161</v>
      </c>
      <c r="H19" s="152">
        <v>277.06639499999994</v>
      </c>
      <c r="I19" s="179">
        <v>264.981045</v>
      </c>
      <c r="J19" s="103" t="s">
        <v>903</v>
      </c>
      <c r="K19" s="109">
        <v>2900.0</v>
      </c>
      <c r="L19" s="109">
        <v>25.5</v>
      </c>
      <c r="M19" s="110">
        <v>0.041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77"/>
      <c r="B20" s="139" t="s">
        <v>912</v>
      </c>
      <c r="C20" s="103">
        <v>2.2</v>
      </c>
      <c r="D20" s="104">
        <v>3.0</v>
      </c>
      <c r="E20" s="103">
        <v>30.0</v>
      </c>
      <c r="F20" s="104">
        <v>16.8</v>
      </c>
      <c r="G20" s="132" t="s">
        <v>161</v>
      </c>
      <c r="H20" s="152">
        <v>334.92013499999996</v>
      </c>
      <c r="I20" s="179">
        <v>305.33052</v>
      </c>
      <c r="J20" s="103" t="s">
        <v>903</v>
      </c>
      <c r="K20" s="109">
        <v>2900.0</v>
      </c>
      <c r="L20" s="109">
        <v>26.7</v>
      </c>
      <c r="M20" s="110">
        <v>0.041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77"/>
      <c r="B21" s="139" t="s">
        <v>913</v>
      </c>
      <c r="C21" s="103">
        <v>3.0</v>
      </c>
      <c r="D21" s="104">
        <v>4.0</v>
      </c>
      <c r="E21" s="103">
        <v>30.0</v>
      </c>
      <c r="F21" s="104">
        <v>19.5</v>
      </c>
      <c r="G21" s="132" t="s">
        <v>161</v>
      </c>
      <c r="H21" s="152">
        <v>389.22623999999996</v>
      </c>
      <c r="I21" s="179">
        <v>351.293835</v>
      </c>
      <c r="J21" s="103" t="s">
        <v>903</v>
      </c>
      <c r="K21" s="109">
        <v>2900.0</v>
      </c>
      <c r="L21" s="109">
        <v>35.0</v>
      </c>
      <c r="M21" s="110">
        <v>0.041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77"/>
      <c r="B22" s="139" t="s">
        <v>914</v>
      </c>
      <c r="C22" s="103">
        <v>4.0</v>
      </c>
      <c r="D22" s="104">
        <v>5.5</v>
      </c>
      <c r="E22" s="103">
        <v>54.0</v>
      </c>
      <c r="F22" s="104">
        <v>21.3</v>
      </c>
      <c r="G22" s="132" t="s">
        <v>161</v>
      </c>
      <c r="H22" s="106">
        <v>587.7768449999999</v>
      </c>
      <c r="I22" s="179">
        <v>490.9381049999999</v>
      </c>
      <c r="J22" s="103" t="s">
        <v>35</v>
      </c>
      <c r="K22" s="109">
        <v>2900.0</v>
      </c>
      <c r="L22" s="109">
        <v>52.0</v>
      </c>
      <c r="M22" s="110">
        <v>0.066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77"/>
      <c r="B23" s="139" t="s">
        <v>915</v>
      </c>
      <c r="C23" s="103">
        <v>5.5</v>
      </c>
      <c r="D23" s="104">
        <v>7.5</v>
      </c>
      <c r="E23" s="103">
        <v>54.0</v>
      </c>
      <c r="F23" s="104">
        <v>26.6</v>
      </c>
      <c r="G23" s="132" t="s">
        <v>161</v>
      </c>
      <c r="H23" s="106">
        <v>0.0</v>
      </c>
      <c r="I23" s="179">
        <v>580.2137549999999</v>
      </c>
      <c r="J23" s="103" t="s">
        <v>35</v>
      </c>
      <c r="K23" s="109">
        <v>2900.0</v>
      </c>
      <c r="L23" s="109">
        <v>64.0</v>
      </c>
      <c r="M23" s="110">
        <v>0.066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77"/>
      <c r="B24" s="139" t="s">
        <v>916</v>
      </c>
      <c r="C24" s="103">
        <v>7.5</v>
      </c>
      <c r="D24" s="104">
        <v>10.0</v>
      </c>
      <c r="E24" s="103">
        <v>60.0</v>
      </c>
      <c r="F24" s="104">
        <v>32.6</v>
      </c>
      <c r="G24" s="132" t="s">
        <v>161</v>
      </c>
      <c r="H24" s="106">
        <v>0.0</v>
      </c>
      <c r="I24" s="179">
        <v>646.13739</v>
      </c>
      <c r="J24" s="103" t="s">
        <v>35</v>
      </c>
      <c r="K24" s="109">
        <v>2900.0</v>
      </c>
      <c r="L24" s="109">
        <v>71.0</v>
      </c>
      <c r="M24" s="110">
        <v>0.066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77"/>
      <c r="B25" s="139" t="s">
        <v>917</v>
      </c>
      <c r="C25" s="103">
        <v>2.2</v>
      </c>
      <c r="D25" s="104">
        <v>3.0</v>
      </c>
      <c r="E25" s="103">
        <v>30.0</v>
      </c>
      <c r="F25" s="104">
        <v>16.8</v>
      </c>
      <c r="G25" s="132" t="s">
        <v>168</v>
      </c>
      <c r="H25" s="152">
        <v>344.86131</v>
      </c>
      <c r="I25" s="179">
        <v>322.2500099999999</v>
      </c>
      <c r="J25" s="103" t="s">
        <v>903</v>
      </c>
      <c r="K25" s="109">
        <v>2900.0</v>
      </c>
      <c r="L25" s="109">
        <v>30.0</v>
      </c>
      <c r="M25" s="110">
        <v>0.047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77"/>
      <c r="B26" s="139" t="s">
        <v>918</v>
      </c>
      <c r="C26" s="103">
        <v>3.0</v>
      </c>
      <c r="D26" s="104">
        <v>4.0</v>
      </c>
      <c r="E26" s="103">
        <v>30.0</v>
      </c>
      <c r="F26" s="104">
        <v>19.5</v>
      </c>
      <c r="G26" s="132" t="s">
        <v>168</v>
      </c>
      <c r="H26" s="152">
        <v>447.62576999999993</v>
      </c>
      <c r="I26" s="179">
        <v>404.04053999999996</v>
      </c>
      <c r="J26" s="103" t="s">
        <v>903</v>
      </c>
      <c r="K26" s="109">
        <v>2900.0</v>
      </c>
      <c r="L26" s="109">
        <v>35.0</v>
      </c>
      <c r="M26" s="110">
        <v>0.047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77"/>
      <c r="B27" s="139" t="s">
        <v>919</v>
      </c>
      <c r="C27" s="103">
        <v>4.0</v>
      </c>
      <c r="D27" s="104">
        <v>5.5</v>
      </c>
      <c r="E27" s="103">
        <v>60.0</v>
      </c>
      <c r="F27" s="104">
        <v>15.5</v>
      </c>
      <c r="G27" s="132" t="s">
        <v>168</v>
      </c>
      <c r="H27" s="106">
        <v>632.687565</v>
      </c>
      <c r="I27" s="179">
        <v>551.7157199999999</v>
      </c>
      <c r="J27" s="103" t="s">
        <v>35</v>
      </c>
      <c r="K27" s="109">
        <v>2900.0</v>
      </c>
      <c r="L27" s="109">
        <v>40.0</v>
      </c>
      <c r="M27" s="110">
        <v>0.045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77"/>
      <c r="B28" s="139" t="s">
        <v>920</v>
      </c>
      <c r="C28" s="103">
        <v>5.5</v>
      </c>
      <c r="D28" s="104">
        <v>7.5</v>
      </c>
      <c r="E28" s="103">
        <v>66.0</v>
      </c>
      <c r="F28" s="104">
        <v>19.7</v>
      </c>
      <c r="G28" s="132" t="s">
        <v>168</v>
      </c>
      <c r="H28" s="106"/>
      <c r="I28" s="179">
        <v>619.5106349999999</v>
      </c>
      <c r="J28" s="103" t="s">
        <v>35</v>
      </c>
      <c r="K28" s="109">
        <v>2900.0</v>
      </c>
      <c r="L28" s="109">
        <v>68.0</v>
      </c>
      <c r="M28" s="110">
        <v>0.07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77"/>
      <c r="B29" s="139" t="s">
        <v>921</v>
      </c>
      <c r="C29" s="103">
        <v>7.5</v>
      </c>
      <c r="D29" s="104">
        <v>10.0</v>
      </c>
      <c r="E29" s="103">
        <v>66.0</v>
      </c>
      <c r="F29" s="104">
        <v>24.5</v>
      </c>
      <c r="G29" s="132" t="s">
        <v>168</v>
      </c>
      <c r="H29" s="106"/>
      <c r="I29" s="179">
        <v>681.37983</v>
      </c>
      <c r="J29" s="103" t="s">
        <v>35</v>
      </c>
      <c r="K29" s="109">
        <v>2900.0</v>
      </c>
      <c r="L29" s="109">
        <v>74.0</v>
      </c>
      <c r="M29" s="110">
        <v>0.07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77"/>
      <c r="B30" s="139" t="s">
        <v>922</v>
      </c>
      <c r="C30" s="103">
        <v>9.2</v>
      </c>
      <c r="D30" s="104">
        <v>12.5</v>
      </c>
      <c r="E30" s="103">
        <v>72.0</v>
      </c>
      <c r="F30" s="104">
        <v>30.0</v>
      </c>
      <c r="G30" s="132" t="s">
        <v>168</v>
      </c>
      <c r="H30" s="106"/>
      <c r="I30" s="179">
        <v>885.5442749999999</v>
      </c>
      <c r="J30" s="103" t="s">
        <v>35</v>
      </c>
      <c r="K30" s="109">
        <v>2900.0</v>
      </c>
      <c r="L30" s="109">
        <v>90.0</v>
      </c>
      <c r="M30" s="110">
        <v>0.138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77"/>
      <c r="B31" s="139" t="s">
        <v>923</v>
      </c>
      <c r="C31" s="103">
        <v>11.0</v>
      </c>
      <c r="D31" s="104">
        <v>15.0</v>
      </c>
      <c r="E31" s="103">
        <v>84.0</v>
      </c>
      <c r="F31" s="104">
        <v>31.5</v>
      </c>
      <c r="G31" s="132" t="s">
        <v>168</v>
      </c>
      <c r="H31" s="106"/>
      <c r="I31" s="179">
        <v>1073.56893</v>
      </c>
      <c r="J31" s="103" t="s">
        <v>35</v>
      </c>
      <c r="K31" s="109">
        <v>2900.0</v>
      </c>
      <c r="L31" s="109">
        <v>106.0</v>
      </c>
      <c r="M31" s="110">
        <v>0.138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77"/>
      <c r="B32" s="139" t="s">
        <v>924</v>
      </c>
      <c r="C32" s="103">
        <v>15.0</v>
      </c>
      <c r="D32" s="104">
        <v>20.0</v>
      </c>
      <c r="E32" s="103">
        <v>90.0</v>
      </c>
      <c r="F32" s="104">
        <v>37.8</v>
      </c>
      <c r="G32" s="132" t="s">
        <v>168</v>
      </c>
      <c r="H32" s="106"/>
      <c r="I32" s="179">
        <v>1390.1661149999998</v>
      </c>
      <c r="J32" s="103" t="s">
        <v>35</v>
      </c>
      <c r="K32" s="109">
        <v>2900.0</v>
      </c>
      <c r="L32" s="109">
        <v>134.0</v>
      </c>
      <c r="M32" s="110">
        <v>0.138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77"/>
      <c r="B33" s="139" t="s">
        <v>925</v>
      </c>
      <c r="C33" s="103">
        <v>18.5</v>
      </c>
      <c r="D33" s="104">
        <v>25.0</v>
      </c>
      <c r="E33" s="103">
        <v>90.0</v>
      </c>
      <c r="F33" s="104">
        <v>45.0</v>
      </c>
      <c r="G33" s="132" t="s">
        <v>168</v>
      </c>
      <c r="H33" s="106"/>
      <c r="I33" s="179">
        <v>1503.1446449999996</v>
      </c>
      <c r="J33" s="103" t="s">
        <v>35</v>
      </c>
      <c r="K33" s="109">
        <v>2900.0</v>
      </c>
      <c r="L33" s="109">
        <v>155.0</v>
      </c>
      <c r="M33" s="110">
        <v>0.138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7.5" customHeight="1">
      <c r="A34" s="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73" t="s">
        <v>124</v>
      </c>
      <c r="C35" s="74" t="s">
        <v>125</v>
      </c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78" t="s">
        <v>126</v>
      </c>
      <c r="C36" s="79" t="s">
        <v>127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7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78" t="s">
        <v>128</v>
      </c>
      <c r="C37" s="79" t="s">
        <v>129</v>
      </c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7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82" t="s">
        <v>130</v>
      </c>
      <c r="C38" s="79" t="s">
        <v>131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7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82" t="s">
        <v>6</v>
      </c>
      <c r="C39" s="85" t="s">
        <v>926</v>
      </c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7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82" t="s">
        <v>134</v>
      </c>
      <c r="C40" s="85" t="s">
        <v>135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7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82" t="s">
        <v>613</v>
      </c>
      <c r="C41" s="85" t="s">
        <v>614</v>
      </c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7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7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7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7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7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7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7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7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6:M6"/>
    <mergeCell ref="B8:B10"/>
    <mergeCell ref="C8:D9"/>
    <mergeCell ref="E8:F8"/>
    <mergeCell ref="H8:I8"/>
    <mergeCell ref="J8:J10"/>
    <mergeCell ref="K8:K9"/>
    <mergeCell ref="H9:I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11" width="9.44"/>
    <col customWidth="1" min="12" max="13" width="7.44"/>
    <col customWidth="1" min="14" max="14" width="9.0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6"/>
      <c r="L4" s="6"/>
      <c r="M4" s="8" t="s">
        <v>0</v>
      </c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11"/>
      <c r="K5" s="11"/>
      <c r="L5" s="11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1"/>
      <c r="B6" s="114" t="s">
        <v>927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92"/>
      <c r="C7" s="92"/>
      <c r="D7" s="92"/>
      <c r="E7" s="92"/>
      <c r="F7" s="92"/>
      <c r="G7" s="92"/>
      <c r="H7" s="92"/>
      <c r="I7" s="92"/>
      <c r="J7" s="92"/>
      <c r="K7" s="1"/>
      <c r="L7" s="178"/>
      <c r="M7" s="17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5</v>
      </c>
      <c r="F8" s="26"/>
      <c r="G8" s="27" t="s">
        <v>6</v>
      </c>
      <c r="H8" s="28" t="s">
        <v>7</v>
      </c>
      <c r="I8" s="26"/>
      <c r="J8" s="94" t="s">
        <v>8</v>
      </c>
      <c r="K8" s="30" t="s">
        <v>9</v>
      </c>
      <c r="L8" s="31" t="s">
        <v>10</v>
      </c>
      <c r="M8" s="32" t="s">
        <v>11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928</v>
      </c>
      <c r="B9" s="34"/>
      <c r="C9" s="35"/>
      <c r="D9" s="36"/>
      <c r="E9" s="37" t="s">
        <v>13</v>
      </c>
      <c r="F9" s="38" t="s">
        <v>14</v>
      </c>
      <c r="G9" s="172"/>
      <c r="H9" s="173"/>
      <c r="I9" s="123"/>
      <c r="J9" s="101"/>
      <c r="K9" s="43"/>
      <c r="L9" s="44"/>
      <c r="M9" s="4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74" t="s">
        <v>20</v>
      </c>
      <c r="I10" s="166" t="s">
        <v>21</v>
      </c>
      <c r="J10" s="102"/>
      <c r="K10" s="52" t="s">
        <v>22</v>
      </c>
      <c r="L10" s="53" t="s">
        <v>23</v>
      </c>
      <c r="M10" s="54" t="s">
        <v>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39" t="s">
        <v>929</v>
      </c>
      <c r="C11" s="103">
        <v>1.1</v>
      </c>
      <c r="D11" s="104">
        <v>1.5</v>
      </c>
      <c r="E11" s="103">
        <v>3.6</v>
      </c>
      <c r="F11" s="104">
        <v>36.0</v>
      </c>
      <c r="G11" s="132" t="s">
        <v>930</v>
      </c>
      <c r="H11" s="152">
        <v>294.29776499999997</v>
      </c>
      <c r="I11" s="179">
        <v>276.79349999999994</v>
      </c>
      <c r="J11" s="103" t="s">
        <v>903</v>
      </c>
      <c r="K11" s="109">
        <v>2900.0</v>
      </c>
      <c r="L11" s="109">
        <v>18.8</v>
      </c>
      <c r="M11" s="110">
        <f t="shared" ref="M11:M12" si="1">0.42*0.22*0.27</f>
        <v>0.024948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77"/>
      <c r="B12" s="139" t="s">
        <v>931</v>
      </c>
      <c r="C12" s="103">
        <v>1.5</v>
      </c>
      <c r="D12" s="104">
        <v>2.0</v>
      </c>
      <c r="E12" s="103">
        <v>4.2</v>
      </c>
      <c r="F12" s="104">
        <v>45.0</v>
      </c>
      <c r="G12" s="132" t="s">
        <v>930</v>
      </c>
      <c r="H12" s="152">
        <v>307.47469499999994</v>
      </c>
      <c r="I12" s="179">
        <v>290.51622</v>
      </c>
      <c r="J12" s="103" t="s">
        <v>903</v>
      </c>
      <c r="K12" s="109">
        <v>2900.0</v>
      </c>
      <c r="L12" s="109">
        <v>23.0</v>
      </c>
      <c r="M12" s="110">
        <f t="shared" si="1"/>
        <v>0.024948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77"/>
      <c r="B13" s="139" t="s">
        <v>932</v>
      </c>
      <c r="C13" s="103">
        <v>1.1</v>
      </c>
      <c r="D13" s="104">
        <v>1.5</v>
      </c>
      <c r="E13" s="103">
        <v>4.8</v>
      </c>
      <c r="F13" s="104">
        <v>32.0</v>
      </c>
      <c r="G13" s="132" t="s">
        <v>930</v>
      </c>
      <c r="H13" s="152">
        <v>334.10144999999994</v>
      </c>
      <c r="I13" s="179">
        <v>321.0</v>
      </c>
      <c r="J13" s="103" t="s">
        <v>903</v>
      </c>
      <c r="K13" s="109">
        <v>2900.0</v>
      </c>
      <c r="L13" s="109">
        <v>18.8</v>
      </c>
      <c r="M13" s="110">
        <f t="shared" ref="M13:M15" si="2">0.42*0.24*0.31</f>
        <v>0.031248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8.0" customHeight="1">
      <c r="A14" s="77"/>
      <c r="B14" s="139" t="s">
        <v>933</v>
      </c>
      <c r="C14" s="103">
        <v>1.5</v>
      </c>
      <c r="D14" s="104">
        <v>2.0</v>
      </c>
      <c r="E14" s="103">
        <v>4.8</v>
      </c>
      <c r="F14" s="104">
        <v>44.0</v>
      </c>
      <c r="G14" s="132" t="s">
        <v>930</v>
      </c>
      <c r="H14" s="152">
        <v>342.7171349999999</v>
      </c>
      <c r="I14" s="179">
        <v>325.75865999999996</v>
      </c>
      <c r="J14" s="103" t="s">
        <v>903</v>
      </c>
      <c r="K14" s="109">
        <v>2900.0</v>
      </c>
      <c r="L14" s="109">
        <v>23.2</v>
      </c>
      <c r="M14" s="110">
        <f t="shared" si="2"/>
        <v>0.031248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77"/>
      <c r="B15" s="139" t="s">
        <v>934</v>
      </c>
      <c r="C15" s="103">
        <v>2.2</v>
      </c>
      <c r="D15" s="104">
        <v>3.0</v>
      </c>
      <c r="E15" s="103">
        <v>4.8</v>
      </c>
      <c r="F15" s="104">
        <v>55.0</v>
      </c>
      <c r="G15" s="132" t="s">
        <v>930</v>
      </c>
      <c r="H15" s="152">
        <v>365.562345</v>
      </c>
      <c r="I15" s="179">
        <v>331.6843799999999</v>
      </c>
      <c r="J15" s="103" t="s">
        <v>903</v>
      </c>
      <c r="K15" s="109">
        <v>2900.0</v>
      </c>
      <c r="L15" s="109">
        <v>24.5</v>
      </c>
      <c r="M15" s="110">
        <f t="shared" si="2"/>
        <v>0.031248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8.0" customHeight="1">
      <c r="A16" s="77"/>
      <c r="B16" s="139" t="s">
        <v>935</v>
      </c>
      <c r="C16" s="103">
        <v>3.0</v>
      </c>
      <c r="D16" s="104">
        <v>4.0</v>
      </c>
      <c r="E16" s="103">
        <v>6.6</v>
      </c>
      <c r="F16" s="104">
        <v>54.0</v>
      </c>
      <c r="G16" s="132" t="s">
        <v>936</v>
      </c>
      <c r="H16" s="152">
        <v>474.79831499999995</v>
      </c>
      <c r="I16" s="179">
        <v>455.42276999999996</v>
      </c>
      <c r="J16" s="103" t="s">
        <v>903</v>
      </c>
      <c r="K16" s="109">
        <v>2900.0</v>
      </c>
      <c r="L16" s="109">
        <v>38.0</v>
      </c>
      <c r="M16" s="110">
        <f t="shared" ref="M16:M17" si="3">0.49*0.29*0.35</f>
        <v>0.049735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77"/>
      <c r="B17" s="139" t="s">
        <v>937</v>
      </c>
      <c r="C17" s="103">
        <v>4.0</v>
      </c>
      <c r="D17" s="104">
        <v>5.5</v>
      </c>
      <c r="E17" s="103">
        <v>6.6</v>
      </c>
      <c r="F17" s="104">
        <v>71.0</v>
      </c>
      <c r="G17" s="132" t="s">
        <v>936</v>
      </c>
      <c r="H17" s="106"/>
      <c r="I17" s="179">
        <v>490.11941999999993</v>
      </c>
      <c r="J17" s="103" t="s">
        <v>903</v>
      </c>
      <c r="K17" s="109">
        <v>2900.0</v>
      </c>
      <c r="L17" s="109">
        <v>43.0</v>
      </c>
      <c r="M17" s="110">
        <f t="shared" si="3"/>
        <v>0.049735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77"/>
      <c r="B18" s="139" t="s">
        <v>938</v>
      </c>
      <c r="C18" s="103">
        <v>5.5</v>
      </c>
      <c r="D18" s="104">
        <v>7.5</v>
      </c>
      <c r="E18" s="103">
        <v>7.2</v>
      </c>
      <c r="F18" s="104">
        <v>83.0</v>
      </c>
      <c r="G18" s="132" t="s">
        <v>26</v>
      </c>
      <c r="H18" s="106"/>
      <c r="I18" s="179">
        <v>747.81027</v>
      </c>
      <c r="J18" s="103" t="s">
        <v>903</v>
      </c>
      <c r="K18" s="109">
        <v>2900.0</v>
      </c>
      <c r="L18" s="109">
        <v>54.0</v>
      </c>
      <c r="M18" s="110">
        <f t="shared" ref="M18:M24" si="4">0.56*0.32*0.38</f>
        <v>0.068096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77"/>
      <c r="B19" s="139" t="s">
        <v>939</v>
      </c>
      <c r="C19" s="103">
        <v>7.5</v>
      </c>
      <c r="D19" s="104">
        <v>10.0</v>
      </c>
      <c r="E19" s="103">
        <v>7.2</v>
      </c>
      <c r="F19" s="104">
        <v>103.0</v>
      </c>
      <c r="G19" s="132" t="s">
        <v>26</v>
      </c>
      <c r="H19" s="106"/>
      <c r="I19" s="179">
        <v>784.3781999999999</v>
      </c>
      <c r="J19" s="103" t="s">
        <v>903</v>
      </c>
      <c r="K19" s="109">
        <v>2900.0</v>
      </c>
      <c r="L19" s="109">
        <v>61.0</v>
      </c>
      <c r="M19" s="110">
        <f t="shared" si="4"/>
        <v>0.068096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77"/>
      <c r="B20" s="139" t="s">
        <v>940</v>
      </c>
      <c r="C20" s="103">
        <v>5.5</v>
      </c>
      <c r="D20" s="104">
        <v>7.5</v>
      </c>
      <c r="E20" s="103">
        <v>7.2</v>
      </c>
      <c r="F20" s="104">
        <v>83.0</v>
      </c>
      <c r="G20" s="132" t="s">
        <v>941</v>
      </c>
      <c r="H20" s="106"/>
      <c r="I20" s="179">
        <v>747.81027</v>
      </c>
      <c r="J20" s="103" t="s">
        <v>903</v>
      </c>
      <c r="K20" s="109">
        <v>2900.0</v>
      </c>
      <c r="L20" s="109">
        <v>54.0</v>
      </c>
      <c r="M20" s="110">
        <f t="shared" si="4"/>
        <v>0.068096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77"/>
      <c r="B21" s="139" t="s">
        <v>942</v>
      </c>
      <c r="C21" s="103">
        <v>7.5</v>
      </c>
      <c r="D21" s="104">
        <v>10.0</v>
      </c>
      <c r="E21" s="103">
        <v>7.2</v>
      </c>
      <c r="F21" s="104">
        <v>103.0</v>
      </c>
      <c r="G21" s="132" t="s">
        <v>941</v>
      </c>
      <c r="H21" s="106"/>
      <c r="I21" s="179">
        <v>784.3781999999999</v>
      </c>
      <c r="J21" s="103" t="s">
        <v>903</v>
      </c>
      <c r="K21" s="109">
        <v>2900.0</v>
      </c>
      <c r="L21" s="109">
        <v>61.0</v>
      </c>
      <c r="M21" s="110">
        <f t="shared" si="4"/>
        <v>0.068096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77"/>
      <c r="B22" s="139" t="s">
        <v>943</v>
      </c>
      <c r="C22" s="103">
        <v>4.0</v>
      </c>
      <c r="D22" s="104">
        <v>5.5</v>
      </c>
      <c r="E22" s="103">
        <v>9.6</v>
      </c>
      <c r="F22" s="104">
        <v>50.0</v>
      </c>
      <c r="G22" s="132" t="s">
        <v>143</v>
      </c>
      <c r="H22" s="106">
        <v>764.7687449999999</v>
      </c>
      <c r="I22" s="179">
        <v>714.7120049999999</v>
      </c>
      <c r="J22" s="103" t="s">
        <v>903</v>
      </c>
      <c r="K22" s="109">
        <v>2900.0</v>
      </c>
      <c r="L22" s="109">
        <v>50.0</v>
      </c>
      <c r="M22" s="110">
        <f t="shared" si="4"/>
        <v>0.068096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77"/>
      <c r="B23" s="139" t="s">
        <v>944</v>
      </c>
      <c r="C23" s="103">
        <v>5.5</v>
      </c>
      <c r="D23" s="104">
        <v>7.5</v>
      </c>
      <c r="E23" s="103">
        <v>9.6</v>
      </c>
      <c r="F23" s="104">
        <v>60.0</v>
      </c>
      <c r="G23" s="132" t="s">
        <v>143</v>
      </c>
      <c r="H23" s="106"/>
      <c r="I23" s="179">
        <v>747.81027</v>
      </c>
      <c r="J23" s="103" t="s">
        <v>903</v>
      </c>
      <c r="K23" s="109">
        <v>2900.0</v>
      </c>
      <c r="L23" s="109">
        <v>54.0</v>
      </c>
      <c r="M23" s="110">
        <f t="shared" si="4"/>
        <v>0.068096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77"/>
      <c r="B24" s="139" t="s">
        <v>945</v>
      </c>
      <c r="C24" s="103">
        <v>7.5</v>
      </c>
      <c r="D24" s="104">
        <v>10.0</v>
      </c>
      <c r="E24" s="103">
        <v>9.6</v>
      </c>
      <c r="F24" s="104">
        <v>72.0</v>
      </c>
      <c r="G24" s="132" t="s">
        <v>143</v>
      </c>
      <c r="H24" s="106"/>
      <c r="I24" s="179">
        <v>784.3781999999999</v>
      </c>
      <c r="J24" s="103" t="s">
        <v>903</v>
      </c>
      <c r="K24" s="109">
        <v>2900.0</v>
      </c>
      <c r="L24" s="109">
        <v>61.0</v>
      </c>
      <c r="M24" s="110">
        <f t="shared" si="4"/>
        <v>0.068096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77"/>
      <c r="B25" s="139" t="s">
        <v>946</v>
      </c>
      <c r="C25" s="103">
        <v>9.2</v>
      </c>
      <c r="D25" s="104">
        <v>12.5</v>
      </c>
      <c r="E25" s="103">
        <v>15.0</v>
      </c>
      <c r="F25" s="104">
        <v>85.0</v>
      </c>
      <c r="G25" s="132" t="s">
        <v>941</v>
      </c>
      <c r="H25" s="106"/>
      <c r="I25" s="179">
        <v>1028.3853149999998</v>
      </c>
      <c r="J25" s="103" t="s">
        <v>903</v>
      </c>
      <c r="K25" s="109">
        <v>2900.0</v>
      </c>
      <c r="L25" s="109">
        <v>89.0</v>
      </c>
      <c r="M25" s="110">
        <f t="shared" ref="M25:M28" si="5">0.59*0.32*0.46</f>
        <v>0.086848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77"/>
      <c r="B26" s="139" t="s">
        <v>947</v>
      </c>
      <c r="C26" s="103">
        <v>11.0</v>
      </c>
      <c r="D26" s="104">
        <v>15.0</v>
      </c>
      <c r="E26" s="103">
        <v>15.0</v>
      </c>
      <c r="F26" s="104">
        <v>93.0</v>
      </c>
      <c r="G26" s="132" t="s">
        <v>941</v>
      </c>
      <c r="H26" s="106"/>
      <c r="I26" s="179">
        <v>1071.9705449999997</v>
      </c>
      <c r="J26" s="103" t="s">
        <v>903</v>
      </c>
      <c r="K26" s="109">
        <v>2900.0</v>
      </c>
      <c r="L26" s="109">
        <v>91.0</v>
      </c>
      <c r="M26" s="110">
        <f t="shared" si="5"/>
        <v>0.086848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77"/>
      <c r="B27" s="139" t="s">
        <v>948</v>
      </c>
      <c r="C27" s="103">
        <v>9.2</v>
      </c>
      <c r="D27" s="104">
        <v>12.5</v>
      </c>
      <c r="E27" s="103">
        <v>15.0</v>
      </c>
      <c r="F27" s="104">
        <v>85.0</v>
      </c>
      <c r="G27" s="132" t="s">
        <v>143</v>
      </c>
      <c r="H27" s="106"/>
      <c r="I27" s="179">
        <v>1028.3853149999998</v>
      </c>
      <c r="J27" s="103" t="s">
        <v>903</v>
      </c>
      <c r="K27" s="109">
        <v>2900.0</v>
      </c>
      <c r="L27" s="109">
        <v>89.0</v>
      </c>
      <c r="M27" s="110">
        <f t="shared" si="5"/>
        <v>0.086848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77"/>
      <c r="B28" s="139" t="s">
        <v>949</v>
      </c>
      <c r="C28" s="103">
        <v>11.0</v>
      </c>
      <c r="D28" s="104">
        <v>15.0</v>
      </c>
      <c r="E28" s="103">
        <v>15.0</v>
      </c>
      <c r="F28" s="104">
        <v>93.0</v>
      </c>
      <c r="G28" s="132" t="s">
        <v>143</v>
      </c>
      <c r="H28" s="106"/>
      <c r="I28" s="179">
        <v>1071.9705449999997</v>
      </c>
      <c r="J28" s="103" t="s">
        <v>903</v>
      </c>
      <c r="K28" s="109">
        <v>2900.0</v>
      </c>
      <c r="L28" s="109">
        <v>91.0</v>
      </c>
      <c r="M28" s="110">
        <f t="shared" si="5"/>
        <v>0.086848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77"/>
      <c r="B29" s="139" t="s">
        <v>950</v>
      </c>
      <c r="C29" s="103">
        <v>13.0</v>
      </c>
      <c r="D29" s="104">
        <v>17.5</v>
      </c>
      <c r="E29" s="103">
        <v>18.0</v>
      </c>
      <c r="F29" s="104">
        <v>103.0</v>
      </c>
      <c r="G29" s="132" t="s">
        <v>941</v>
      </c>
      <c r="H29" s="106"/>
      <c r="I29" s="179">
        <v>1536.2429099999997</v>
      </c>
      <c r="J29" s="103" t="s">
        <v>903</v>
      </c>
      <c r="K29" s="109">
        <v>2900.0</v>
      </c>
      <c r="L29" s="109">
        <v>110.0</v>
      </c>
      <c r="M29" s="110">
        <f t="shared" ref="M29:M36" si="6">0.76*0.34*0.5</f>
        <v>0.1292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77"/>
      <c r="B30" s="139" t="s">
        <v>951</v>
      </c>
      <c r="C30" s="103">
        <v>15.0</v>
      </c>
      <c r="D30" s="104">
        <v>20.0</v>
      </c>
      <c r="E30" s="103">
        <v>18.0</v>
      </c>
      <c r="F30" s="104">
        <v>113.0</v>
      </c>
      <c r="G30" s="132" t="s">
        <v>941</v>
      </c>
      <c r="H30" s="106"/>
      <c r="I30" s="179">
        <v>1585.9877699999995</v>
      </c>
      <c r="J30" s="103" t="s">
        <v>903</v>
      </c>
      <c r="K30" s="109">
        <v>2900.0</v>
      </c>
      <c r="L30" s="109">
        <v>120.0</v>
      </c>
      <c r="M30" s="110">
        <f t="shared" si="6"/>
        <v>0.1292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77"/>
      <c r="B31" s="139" t="s">
        <v>952</v>
      </c>
      <c r="C31" s="103">
        <v>18.5</v>
      </c>
      <c r="D31" s="104">
        <v>25.0</v>
      </c>
      <c r="E31" s="103">
        <v>18.0</v>
      </c>
      <c r="F31" s="104">
        <v>126.0</v>
      </c>
      <c r="G31" s="132" t="s">
        <v>941</v>
      </c>
      <c r="H31" s="106"/>
      <c r="I31" s="179">
        <v>1803.8749349999998</v>
      </c>
      <c r="J31" s="103" t="s">
        <v>903</v>
      </c>
      <c r="K31" s="109">
        <v>2900.0</v>
      </c>
      <c r="L31" s="109">
        <v>130.0</v>
      </c>
      <c r="M31" s="110">
        <f t="shared" si="6"/>
        <v>0.1292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77"/>
      <c r="B32" s="139" t="s">
        <v>953</v>
      </c>
      <c r="C32" s="103">
        <v>22.0</v>
      </c>
      <c r="D32" s="104">
        <v>30.0</v>
      </c>
      <c r="E32" s="103">
        <v>18.0</v>
      </c>
      <c r="F32" s="104">
        <v>141.0</v>
      </c>
      <c r="G32" s="132" t="s">
        <v>941</v>
      </c>
      <c r="H32" s="106"/>
      <c r="I32" s="179">
        <v>1984.6483799999999</v>
      </c>
      <c r="J32" s="103" t="s">
        <v>903</v>
      </c>
      <c r="K32" s="109">
        <v>2900.0</v>
      </c>
      <c r="L32" s="109">
        <v>140.0</v>
      </c>
      <c r="M32" s="110">
        <f t="shared" si="6"/>
        <v>0.1292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77"/>
      <c r="B33" s="139" t="s">
        <v>954</v>
      </c>
      <c r="C33" s="103">
        <v>13.0</v>
      </c>
      <c r="D33" s="104">
        <v>17.5</v>
      </c>
      <c r="E33" s="103">
        <v>18.0</v>
      </c>
      <c r="F33" s="104">
        <v>103.0</v>
      </c>
      <c r="G33" s="132" t="s">
        <v>143</v>
      </c>
      <c r="H33" s="106"/>
      <c r="I33" s="179">
        <v>1536.2429099999997</v>
      </c>
      <c r="J33" s="103" t="s">
        <v>903</v>
      </c>
      <c r="K33" s="109">
        <v>2900.0</v>
      </c>
      <c r="L33" s="109">
        <v>110.0</v>
      </c>
      <c r="M33" s="110">
        <f t="shared" si="6"/>
        <v>0.1292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8.0" customHeight="1">
      <c r="A34" s="77"/>
      <c r="B34" s="139" t="s">
        <v>955</v>
      </c>
      <c r="C34" s="103">
        <v>15.0</v>
      </c>
      <c r="D34" s="104">
        <v>20.0</v>
      </c>
      <c r="E34" s="103">
        <v>18.0</v>
      </c>
      <c r="F34" s="104">
        <v>113.0</v>
      </c>
      <c r="G34" s="132" t="s">
        <v>143</v>
      </c>
      <c r="H34" s="106"/>
      <c r="I34" s="179">
        <v>1585.9877699999995</v>
      </c>
      <c r="J34" s="103" t="s">
        <v>903</v>
      </c>
      <c r="K34" s="109">
        <v>2900.0</v>
      </c>
      <c r="L34" s="109">
        <v>120.0</v>
      </c>
      <c r="M34" s="110">
        <f t="shared" si="6"/>
        <v>0.1292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8.0" customHeight="1">
      <c r="A35" s="77"/>
      <c r="B35" s="139" t="s">
        <v>956</v>
      </c>
      <c r="C35" s="103">
        <v>18.5</v>
      </c>
      <c r="D35" s="104">
        <v>25.0</v>
      </c>
      <c r="E35" s="103">
        <v>18.0</v>
      </c>
      <c r="F35" s="104">
        <v>126.0</v>
      </c>
      <c r="G35" s="132" t="s">
        <v>143</v>
      </c>
      <c r="H35" s="106"/>
      <c r="I35" s="179">
        <v>1803.8749349999998</v>
      </c>
      <c r="J35" s="103" t="s">
        <v>903</v>
      </c>
      <c r="K35" s="109">
        <v>2900.0</v>
      </c>
      <c r="L35" s="109">
        <v>130.0</v>
      </c>
      <c r="M35" s="110">
        <f t="shared" si="6"/>
        <v>0.1292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8.0" customHeight="1">
      <c r="A36" s="77"/>
      <c r="B36" s="139" t="s">
        <v>957</v>
      </c>
      <c r="C36" s="103">
        <v>22.0</v>
      </c>
      <c r="D36" s="104">
        <v>30.0</v>
      </c>
      <c r="E36" s="103">
        <v>18.0</v>
      </c>
      <c r="F36" s="104">
        <v>141.0</v>
      </c>
      <c r="G36" s="132" t="s">
        <v>143</v>
      </c>
      <c r="H36" s="106"/>
      <c r="I36" s="179">
        <v>1984.6483799999999</v>
      </c>
      <c r="J36" s="103" t="s">
        <v>903</v>
      </c>
      <c r="K36" s="109">
        <v>2900.0</v>
      </c>
      <c r="L36" s="109">
        <v>140.0</v>
      </c>
      <c r="M36" s="110">
        <f t="shared" si="6"/>
        <v>0.1292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7.5" customHeight="1">
      <c r="A37" s="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73" t="s">
        <v>124</v>
      </c>
      <c r="C38" s="74" t="s">
        <v>125</v>
      </c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78" t="s">
        <v>126</v>
      </c>
      <c r="C39" s="79" t="s">
        <v>127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78" t="s">
        <v>128</v>
      </c>
      <c r="C40" s="79" t="s">
        <v>129</v>
      </c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82" t="s">
        <v>130</v>
      </c>
      <c r="C41" s="79" t="s">
        <v>131</v>
      </c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82" t="s">
        <v>6</v>
      </c>
      <c r="C42" s="85" t="s">
        <v>926</v>
      </c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82" t="s">
        <v>613</v>
      </c>
      <c r="C43" s="85" t="s">
        <v>614</v>
      </c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82" t="s">
        <v>134</v>
      </c>
      <c r="C44" s="85" t="s">
        <v>135</v>
      </c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6:M6"/>
    <mergeCell ref="B8:B10"/>
    <mergeCell ref="C8:D9"/>
    <mergeCell ref="E8:F8"/>
    <mergeCell ref="H8:I8"/>
    <mergeCell ref="J8:J10"/>
    <mergeCell ref="K8:K9"/>
    <mergeCell ref="H9:I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0.0"/>
    <col customWidth="1" min="2" max="2" width="22.44"/>
    <col customWidth="1" min="3" max="8" width="7.44"/>
    <col customWidth="1" min="9" max="15" width="9.44"/>
    <col customWidth="1" min="16" max="16" width="9.0"/>
    <col customWidth="1" min="17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1"/>
      <c r="F4" s="1"/>
      <c r="G4" s="4"/>
      <c r="H4" s="6"/>
      <c r="I4" s="6"/>
      <c r="J4" s="6"/>
      <c r="K4" s="6"/>
      <c r="L4" s="6"/>
      <c r="M4" s="6"/>
      <c r="N4" s="7"/>
      <c r="O4" s="8" t="s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11"/>
      <c r="M5" s="11"/>
      <c r="N5" s="12"/>
      <c r="O5" s="12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33"/>
      <c r="B6" s="88" t="s">
        <v>958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180"/>
      <c r="N6" s="89"/>
      <c r="O6" s="14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181"/>
      <c r="C7" s="92"/>
      <c r="D7" s="92"/>
      <c r="E7" s="92"/>
      <c r="F7" s="92"/>
      <c r="G7" s="92"/>
      <c r="H7" s="92"/>
      <c r="I7" s="92"/>
      <c r="J7" s="92"/>
      <c r="K7" s="92"/>
      <c r="L7" s="9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959</v>
      </c>
      <c r="F8" s="26"/>
      <c r="G8" s="25" t="s">
        <v>960</v>
      </c>
      <c r="H8" s="26"/>
      <c r="I8" s="27" t="s">
        <v>6</v>
      </c>
      <c r="J8" s="28" t="s">
        <v>7</v>
      </c>
      <c r="K8" s="26"/>
      <c r="L8" s="27" t="s">
        <v>961</v>
      </c>
      <c r="M8" s="182" t="s">
        <v>9</v>
      </c>
      <c r="N8" s="31" t="s">
        <v>10</v>
      </c>
      <c r="O8" s="32" t="s">
        <v>11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962</v>
      </c>
      <c r="B9" s="34"/>
      <c r="C9" s="35"/>
      <c r="D9" s="36"/>
      <c r="E9" s="37" t="s">
        <v>13</v>
      </c>
      <c r="F9" s="38" t="s">
        <v>14</v>
      </c>
      <c r="G9" s="37" t="s">
        <v>13</v>
      </c>
      <c r="H9" s="38" t="s">
        <v>14</v>
      </c>
      <c r="I9" s="39"/>
      <c r="J9" s="173"/>
      <c r="K9" s="123"/>
      <c r="L9" s="39" t="s">
        <v>963</v>
      </c>
      <c r="M9" s="43"/>
      <c r="N9" s="44"/>
      <c r="O9" s="4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6" t="s">
        <v>17</v>
      </c>
      <c r="H10" s="47" t="s">
        <v>18</v>
      </c>
      <c r="I10" s="48" t="s">
        <v>19</v>
      </c>
      <c r="J10" s="174" t="s">
        <v>20</v>
      </c>
      <c r="K10" s="166" t="s">
        <v>21</v>
      </c>
      <c r="L10" s="48"/>
      <c r="M10" s="52" t="s">
        <v>22</v>
      </c>
      <c r="N10" s="53" t="s">
        <v>23</v>
      </c>
      <c r="O10" s="54" t="s">
        <v>24</v>
      </c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77"/>
      <c r="B11" s="112" t="s">
        <v>964</v>
      </c>
      <c r="C11" s="103">
        <v>1.5</v>
      </c>
      <c r="D11" s="104">
        <v>2.0</v>
      </c>
      <c r="E11" s="103">
        <v>15.0</v>
      </c>
      <c r="F11" s="104">
        <v>30.0</v>
      </c>
      <c r="G11" s="103">
        <v>8.0</v>
      </c>
      <c r="H11" s="104">
        <v>23.0</v>
      </c>
      <c r="I11" s="132" t="s">
        <v>199</v>
      </c>
      <c r="J11" s="183">
        <v>370.78633499999995</v>
      </c>
      <c r="K11" s="184">
        <v>348.0580799999999</v>
      </c>
      <c r="L11" s="57" t="s">
        <v>27</v>
      </c>
      <c r="M11" s="103">
        <v>2900.0</v>
      </c>
      <c r="N11" s="109">
        <v>38.0</v>
      </c>
      <c r="O11" s="109">
        <v>0.049</v>
      </c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ht="18.0" customHeight="1">
      <c r="A12" s="77"/>
      <c r="B12" s="112" t="s">
        <v>965</v>
      </c>
      <c r="C12" s="103">
        <v>1.5</v>
      </c>
      <c r="D12" s="104">
        <v>2.0</v>
      </c>
      <c r="E12" s="103">
        <v>18.0</v>
      </c>
      <c r="F12" s="104">
        <v>28.0</v>
      </c>
      <c r="G12" s="103">
        <v>10.0</v>
      </c>
      <c r="H12" s="104">
        <v>20.0</v>
      </c>
      <c r="I12" s="132" t="s">
        <v>143</v>
      </c>
      <c r="J12" s="183">
        <v>380.33765999999997</v>
      </c>
      <c r="K12" s="184">
        <v>357.02462999999995</v>
      </c>
      <c r="L12" s="57" t="s">
        <v>27</v>
      </c>
      <c r="M12" s="103">
        <v>2900.0</v>
      </c>
      <c r="N12" s="109">
        <v>38.0</v>
      </c>
      <c r="O12" s="109">
        <v>0.049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 ht="18.0" customHeight="1">
      <c r="A13" s="77"/>
      <c r="B13" s="112" t="s">
        <v>966</v>
      </c>
      <c r="C13" s="103">
        <v>2.2</v>
      </c>
      <c r="D13" s="104">
        <v>3.0</v>
      </c>
      <c r="E13" s="103">
        <v>18.0</v>
      </c>
      <c r="F13" s="104">
        <v>35.0</v>
      </c>
      <c r="G13" s="103">
        <v>10.0</v>
      </c>
      <c r="H13" s="104">
        <v>25.0</v>
      </c>
      <c r="I13" s="132" t="s">
        <v>199</v>
      </c>
      <c r="J13" s="183">
        <v>412.8901349999999</v>
      </c>
      <c r="K13" s="184">
        <v>384.8209349999999</v>
      </c>
      <c r="L13" s="57" t="s">
        <v>27</v>
      </c>
      <c r="M13" s="103">
        <v>2900.0</v>
      </c>
      <c r="N13" s="109">
        <v>40.0</v>
      </c>
      <c r="O13" s="109">
        <v>0.049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 ht="18.0" customHeight="1">
      <c r="A14" s="67"/>
      <c r="B14" s="112" t="s">
        <v>967</v>
      </c>
      <c r="C14" s="103">
        <v>2.2</v>
      </c>
      <c r="D14" s="104">
        <v>3.0</v>
      </c>
      <c r="E14" s="103">
        <v>20.0</v>
      </c>
      <c r="F14" s="104">
        <v>32.0</v>
      </c>
      <c r="G14" s="103">
        <v>12.0</v>
      </c>
      <c r="H14" s="104">
        <v>22.0</v>
      </c>
      <c r="I14" s="132" t="s">
        <v>143</v>
      </c>
      <c r="J14" s="183">
        <v>421.89566999999994</v>
      </c>
      <c r="K14" s="184">
        <v>394.3722599999999</v>
      </c>
      <c r="L14" s="57" t="s">
        <v>27</v>
      </c>
      <c r="M14" s="103">
        <v>2900.0</v>
      </c>
      <c r="N14" s="109">
        <v>40.0</v>
      </c>
      <c r="O14" s="109">
        <v>0.049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ht="18.0" customHeight="1">
      <c r="A15" s="68"/>
      <c r="B15" s="154" t="s">
        <v>968</v>
      </c>
      <c r="C15" s="103">
        <v>3.0</v>
      </c>
      <c r="D15" s="104">
        <v>4.0</v>
      </c>
      <c r="E15" s="103">
        <v>22.0</v>
      </c>
      <c r="F15" s="104">
        <v>40.0</v>
      </c>
      <c r="G15" s="103">
        <v>12.0</v>
      </c>
      <c r="H15" s="104">
        <v>28.0</v>
      </c>
      <c r="I15" s="132" t="s">
        <v>143</v>
      </c>
      <c r="J15" s="183">
        <v>760.4024249999998</v>
      </c>
      <c r="K15" s="184">
        <v>714.0882449999999</v>
      </c>
      <c r="L15" s="57" t="s">
        <v>27</v>
      </c>
      <c r="M15" s="103">
        <v>2900.0</v>
      </c>
      <c r="N15" s="109">
        <v>50.0</v>
      </c>
      <c r="O15" s="109">
        <v>0.077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ht="18.0" customHeight="1">
      <c r="A16" s="77"/>
      <c r="B16" s="154" t="s">
        <v>969</v>
      </c>
      <c r="C16" s="103">
        <v>4.0</v>
      </c>
      <c r="D16" s="104">
        <v>5.5</v>
      </c>
      <c r="E16" s="103">
        <v>25.0</v>
      </c>
      <c r="F16" s="104">
        <v>45.0</v>
      </c>
      <c r="G16" s="103">
        <v>15.0</v>
      </c>
      <c r="H16" s="104">
        <v>30.0</v>
      </c>
      <c r="I16" s="132" t="s">
        <v>143</v>
      </c>
      <c r="J16" s="183"/>
      <c r="K16" s="184">
        <v>792.9548999999998</v>
      </c>
      <c r="L16" s="57" t="s">
        <v>27</v>
      </c>
      <c r="M16" s="103">
        <v>2900.0</v>
      </c>
      <c r="N16" s="109">
        <v>53.0</v>
      </c>
      <c r="O16" s="109">
        <v>0.077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ht="18.0" customHeight="1">
      <c r="A17" s="77"/>
      <c r="B17" s="69" t="s">
        <v>970</v>
      </c>
      <c r="C17" s="103">
        <v>1.5</v>
      </c>
      <c r="D17" s="104">
        <v>2.0</v>
      </c>
      <c r="E17" s="103">
        <v>15.0</v>
      </c>
      <c r="F17" s="104">
        <v>25.0</v>
      </c>
      <c r="G17" s="103">
        <v>10.0</v>
      </c>
      <c r="H17" s="104">
        <v>18.0</v>
      </c>
      <c r="I17" s="132" t="s">
        <v>143</v>
      </c>
      <c r="J17" s="183">
        <v>380.33765999999997</v>
      </c>
      <c r="K17" s="184">
        <v>357.02463</v>
      </c>
      <c r="L17" s="57" t="s">
        <v>35</v>
      </c>
      <c r="M17" s="103">
        <v>2900.0</v>
      </c>
      <c r="N17" s="109">
        <v>38.0</v>
      </c>
      <c r="O17" s="109">
        <v>0.049</v>
      </c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ht="18.0" customHeight="1">
      <c r="A18" s="77"/>
      <c r="B18" s="69" t="s">
        <v>971</v>
      </c>
      <c r="C18" s="103">
        <v>2.2</v>
      </c>
      <c r="D18" s="104">
        <v>3.0</v>
      </c>
      <c r="E18" s="103">
        <v>18.0</v>
      </c>
      <c r="F18" s="104">
        <v>30.0</v>
      </c>
      <c r="G18" s="103">
        <v>10.0</v>
      </c>
      <c r="H18" s="104">
        <v>20.0</v>
      </c>
      <c r="I18" s="132" t="s">
        <v>143</v>
      </c>
      <c r="J18" s="183">
        <v>421.89566999999994</v>
      </c>
      <c r="K18" s="184">
        <v>394.37226</v>
      </c>
      <c r="L18" s="57" t="s">
        <v>35</v>
      </c>
      <c r="M18" s="103">
        <v>2900.0</v>
      </c>
      <c r="N18" s="109">
        <v>40.0</v>
      </c>
      <c r="O18" s="109">
        <v>0.049</v>
      </c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ht="18.0" customHeight="1">
      <c r="A19" s="77"/>
      <c r="B19" s="56" t="s">
        <v>972</v>
      </c>
      <c r="C19" s="103">
        <v>3.0</v>
      </c>
      <c r="D19" s="104">
        <v>4.0</v>
      </c>
      <c r="E19" s="103">
        <v>25.0</v>
      </c>
      <c r="F19" s="104">
        <v>35.0</v>
      </c>
      <c r="G19" s="103">
        <v>12.0</v>
      </c>
      <c r="H19" s="104">
        <v>22.0</v>
      </c>
      <c r="I19" s="132" t="s">
        <v>143</v>
      </c>
      <c r="J19" s="183">
        <v>760.4024249999998</v>
      </c>
      <c r="K19" s="184">
        <v>714.0882449999999</v>
      </c>
      <c r="L19" s="57" t="s">
        <v>35</v>
      </c>
      <c r="M19" s="103">
        <v>2900.0</v>
      </c>
      <c r="N19" s="109">
        <v>50.0</v>
      </c>
      <c r="O19" s="109">
        <v>0.077</v>
      </c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ht="18.0" customHeight="1">
      <c r="A20" s="77"/>
      <c r="B20" s="56" t="s">
        <v>973</v>
      </c>
      <c r="C20" s="103">
        <v>4.0</v>
      </c>
      <c r="D20" s="104">
        <v>5.5</v>
      </c>
      <c r="E20" s="103">
        <v>28.0</v>
      </c>
      <c r="F20" s="104">
        <v>38.0</v>
      </c>
      <c r="G20" s="103">
        <v>15.0</v>
      </c>
      <c r="H20" s="104">
        <v>25.0</v>
      </c>
      <c r="I20" s="132" t="s">
        <v>143</v>
      </c>
      <c r="J20" s="183"/>
      <c r="K20" s="184">
        <v>792.9549</v>
      </c>
      <c r="L20" s="57" t="s">
        <v>35</v>
      </c>
      <c r="M20" s="103">
        <v>2900.0</v>
      </c>
      <c r="N20" s="109">
        <v>53.0</v>
      </c>
      <c r="O20" s="109">
        <v>0.077</v>
      </c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ht="7.5" customHeight="1">
      <c r="A21" s="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/>
      <c r="B22" s="141" t="s">
        <v>124</v>
      </c>
      <c r="C22" s="142"/>
      <c r="D22" s="74" t="s">
        <v>125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143" t="s">
        <v>126</v>
      </c>
      <c r="C23" s="144"/>
      <c r="D23" s="79" t="s">
        <v>127</v>
      </c>
      <c r="E23" s="186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143" t="s">
        <v>130</v>
      </c>
      <c r="C24" s="144"/>
      <c r="D24" s="79" t="s">
        <v>131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143" t="s">
        <v>974</v>
      </c>
      <c r="C25" s="144"/>
      <c r="D25" s="79" t="s">
        <v>975</v>
      </c>
      <c r="E25" s="80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143" t="s">
        <v>962</v>
      </c>
      <c r="C26" s="144"/>
      <c r="D26" s="79" t="s">
        <v>976</v>
      </c>
      <c r="E26" s="80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143" t="s">
        <v>977</v>
      </c>
      <c r="C27" s="144"/>
      <c r="D27" s="79" t="s">
        <v>978</v>
      </c>
      <c r="E27" s="80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43" t="s">
        <v>979</v>
      </c>
      <c r="C28" s="144"/>
      <c r="D28" s="80" t="s">
        <v>980</v>
      </c>
      <c r="E28" s="80"/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143" t="s">
        <v>981</v>
      </c>
      <c r="C29" s="144"/>
      <c r="D29" s="80" t="s">
        <v>135</v>
      </c>
      <c r="E29" s="80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8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ht="15.75" customHeight="1">
      <c r="A31" s="1"/>
      <c r="B31" s="18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ht="15.75" customHeight="1">
      <c r="A32" s="1"/>
      <c r="B32" s="18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ht="15.75" customHeight="1">
      <c r="A33" s="1"/>
      <c r="B33" s="18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ht="15.75" customHeight="1">
      <c r="A34" s="1"/>
      <c r="B34" s="18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ht="15.75" customHeight="1">
      <c r="A35" s="1"/>
      <c r="B35" s="18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ht="15.75" customHeight="1">
      <c r="A36" s="1"/>
      <c r="B36" s="18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ht="15.75" customHeight="1">
      <c r="A37" s="1"/>
      <c r="B37" s="18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ht="15.75" customHeight="1">
      <c r="A38" s="1"/>
      <c r="B38" s="18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ht="15.75" customHeight="1">
      <c r="A39" s="1"/>
      <c r="B39" s="18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ht="15.75" customHeight="1">
      <c r="A40" s="1"/>
      <c r="B40" s="18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ht="15.75" customHeight="1">
      <c r="A41" s="1"/>
      <c r="B41" s="18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ht="15.75" customHeight="1">
      <c r="A42" s="1"/>
      <c r="B42" s="18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ht="15.75" customHeight="1">
      <c r="A43" s="1"/>
      <c r="B43" s="18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ht="15.75" customHeight="1">
      <c r="A44" s="1"/>
      <c r="B44" s="18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ht="15.75" customHeight="1">
      <c r="A45" s="1"/>
      <c r="B45" s="18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ht="15.75" customHeight="1">
      <c r="A46" s="1"/>
      <c r="B46" s="18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ht="15.75" customHeight="1">
      <c r="A47" s="1"/>
      <c r="B47" s="18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ht="15.75" customHeight="1">
      <c r="A48" s="1"/>
      <c r="B48" s="18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ht="15.75" customHeight="1">
      <c r="A49" s="1"/>
      <c r="B49" s="18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ht="15.75" customHeight="1">
      <c r="A50" s="1"/>
      <c r="B50" s="18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ht="15.75" customHeight="1">
      <c r="A51" s="1"/>
      <c r="B51" s="18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ht="15.75" customHeight="1">
      <c r="A52" s="1"/>
      <c r="B52" s="18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ht="15.75" customHeight="1">
      <c r="A53" s="1"/>
      <c r="B53" s="18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ht="15.75" customHeight="1">
      <c r="A54" s="1"/>
      <c r="B54" s="18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ht="15.75" customHeight="1">
      <c r="A55" s="1"/>
      <c r="B55" s="18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ht="15.75" customHeight="1">
      <c r="A56" s="1"/>
      <c r="B56" s="18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ht="15.75" customHeight="1">
      <c r="A57" s="1"/>
      <c r="B57" s="18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 ht="15.75" customHeight="1">
      <c r="A58" s="1"/>
      <c r="B58" s="18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 ht="15.75" customHeight="1">
      <c r="A59" s="1"/>
      <c r="B59" s="18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ht="15.75" customHeight="1">
      <c r="A60" s="1"/>
      <c r="B60" s="18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ht="15.75" customHeight="1">
      <c r="A61" s="1"/>
      <c r="B61" s="18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ht="15.75" customHeight="1">
      <c r="A62" s="1"/>
      <c r="B62" s="18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ht="15.75" customHeight="1">
      <c r="A63" s="1"/>
      <c r="B63" s="18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ht="15.75" customHeight="1">
      <c r="A64" s="1"/>
      <c r="B64" s="18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ht="15.75" customHeight="1">
      <c r="A65" s="1"/>
      <c r="B65" s="18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ht="15.75" customHeight="1">
      <c r="A66" s="1"/>
      <c r="B66" s="18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ht="15.75" customHeight="1">
      <c r="A67" s="1"/>
      <c r="B67" s="18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ht="15.75" customHeight="1">
      <c r="A68" s="1"/>
      <c r="B68" s="18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ht="15.75" customHeight="1">
      <c r="A69" s="1"/>
      <c r="B69" s="18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 ht="15.75" customHeight="1">
      <c r="A70" s="1"/>
      <c r="B70" s="18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ht="15.75" customHeight="1">
      <c r="A71" s="1"/>
      <c r="B71" s="18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ht="15.75" customHeight="1">
      <c r="A72" s="1"/>
      <c r="B72" s="18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ht="15.75" customHeight="1">
      <c r="A73" s="1"/>
      <c r="B73" s="18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ht="15.75" customHeight="1">
      <c r="A74" s="1"/>
      <c r="B74" s="18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ht="15.75" customHeight="1">
      <c r="A75" s="1"/>
      <c r="B75" s="18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ht="15.75" customHeight="1">
      <c r="A76" s="1"/>
      <c r="B76" s="18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ht="15.75" customHeight="1">
      <c r="A77" s="1"/>
      <c r="B77" s="18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ht="15.75" customHeight="1">
      <c r="A78" s="1"/>
      <c r="B78" s="18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ht="15.75" customHeight="1">
      <c r="A79" s="1"/>
      <c r="B79" s="18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ht="15.75" customHeight="1">
      <c r="A80" s="1"/>
      <c r="B80" s="18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ht="15.75" customHeight="1">
      <c r="A81" s="1"/>
      <c r="B81" s="18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ht="15.75" customHeight="1">
      <c r="A82" s="1"/>
      <c r="B82" s="18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ht="15.75" customHeight="1">
      <c r="A83" s="1"/>
      <c r="B83" s="18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ht="15.75" customHeight="1">
      <c r="A84" s="1"/>
      <c r="B84" s="18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ht="15.75" customHeight="1">
      <c r="A85" s="1"/>
      <c r="B85" s="18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ht="15.75" customHeight="1">
      <c r="A86" s="1"/>
      <c r="B86" s="18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ht="15.75" customHeight="1">
      <c r="A87" s="1"/>
      <c r="B87" s="18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ht="15.75" customHeight="1">
      <c r="A88" s="1"/>
      <c r="B88" s="18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ht="15.75" customHeight="1">
      <c r="A89" s="1"/>
      <c r="B89" s="18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ht="15.75" customHeight="1">
      <c r="A90" s="1"/>
      <c r="B90" s="18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ht="15.75" customHeight="1">
      <c r="A91" s="1"/>
      <c r="B91" s="18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ht="15.75" customHeight="1">
      <c r="A92" s="1"/>
      <c r="B92" s="18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ht="15.75" customHeight="1">
      <c r="A93" s="1"/>
      <c r="B93" s="18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ht="15.75" customHeight="1">
      <c r="A94" s="1"/>
      <c r="B94" s="18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ht="15.75" customHeight="1">
      <c r="A95" s="1"/>
      <c r="B95" s="18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ht="15.75" customHeight="1">
      <c r="A96" s="1"/>
      <c r="B96" s="18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ht="15.75" customHeight="1">
      <c r="A97" s="1"/>
      <c r="B97" s="18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ht="15.75" customHeight="1">
      <c r="A98" s="1"/>
      <c r="B98" s="18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ht="15.75" customHeight="1">
      <c r="A99" s="1"/>
      <c r="B99" s="18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ht="15.75" customHeight="1">
      <c r="A100" s="1"/>
      <c r="B100" s="18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ht="15.75" customHeight="1">
      <c r="A101" s="1"/>
      <c r="B101" s="18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ht="15.75" customHeight="1">
      <c r="A102" s="1"/>
      <c r="B102" s="18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ht="15.75" customHeight="1">
      <c r="A103" s="1"/>
      <c r="B103" s="18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ht="15.75" customHeight="1">
      <c r="A104" s="1"/>
      <c r="B104" s="18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ht="15.75" customHeight="1">
      <c r="A105" s="1"/>
      <c r="B105" s="18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ht="15.75" customHeight="1">
      <c r="A106" s="1"/>
      <c r="B106" s="18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ht="15.75" customHeight="1">
      <c r="A107" s="1"/>
      <c r="B107" s="18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ht="15.75" customHeight="1">
      <c r="A108" s="1"/>
      <c r="B108" s="18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ht="15.75" customHeight="1">
      <c r="A109" s="1"/>
      <c r="B109" s="18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ht="15.75" customHeight="1">
      <c r="A110" s="1"/>
      <c r="B110" s="18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ht="15.75" customHeight="1">
      <c r="A111" s="1"/>
      <c r="B111" s="18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ht="15.75" customHeight="1">
      <c r="A112" s="1"/>
      <c r="B112" s="18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ht="15.75" customHeight="1">
      <c r="A113" s="1"/>
      <c r="B113" s="18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ht="15.75" customHeight="1">
      <c r="A114" s="1"/>
      <c r="B114" s="18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ht="15.75" customHeight="1">
      <c r="A115" s="1"/>
      <c r="B115" s="18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ht="15.75" customHeight="1">
      <c r="A116" s="1"/>
      <c r="B116" s="18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ht="15.75" customHeight="1">
      <c r="A117" s="1"/>
      <c r="B117" s="18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ht="15.75" customHeight="1">
      <c r="A118" s="1"/>
      <c r="B118" s="18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ht="15.75" customHeight="1">
      <c r="A119" s="1"/>
      <c r="B119" s="18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ht="15.75" customHeight="1">
      <c r="A120" s="1"/>
      <c r="B120" s="18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ht="15.75" customHeight="1">
      <c r="A121" s="1"/>
      <c r="B121" s="18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ht="15.75" customHeight="1">
      <c r="A122" s="1"/>
      <c r="B122" s="18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ht="15.75" customHeight="1">
      <c r="A123" s="1"/>
      <c r="B123" s="18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ht="15.75" customHeight="1">
      <c r="A124" s="1"/>
      <c r="B124" s="18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ht="15.75" customHeight="1">
      <c r="A125" s="1"/>
      <c r="B125" s="18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ht="15.75" customHeight="1">
      <c r="A126" s="1"/>
      <c r="B126" s="18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ht="15.75" customHeight="1">
      <c r="A127" s="1"/>
      <c r="B127" s="18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ht="15.75" customHeight="1">
      <c r="A128" s="1"/>
      <c r="B128" s="18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ht="15.75" customHeight="1">
      <c r="A129" s="1"/>
      <c r="B129" s="18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ht="15.75" customHeight="1">
      <c r="A130" s="1"/>
      <c r="B130" s="18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ht="15.75" customHeight="1">
      <c r="A131" s="1"/>
      <c r="B131" s="18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ht="15.75" customHeight="1">
      <c r="A132" s="1"/>
      <c r="B132" s="18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ht="15.75" customHeight="1">
      <c r="A133" s="1"/>
      <c r="B133" s="18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ht="15.75" customHeight="1">
      <c r="A134" s="1"/>
      <c r="B134" s="18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ht="15.75" customHeight="1">
      <c r="A135" s="1"/>
      <c r="B135" s="18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ht="15.75" customHeight="1">
      <c r="A136" s="1"/>
      <c r="B136" s="18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ht="15.75" customHeight="1">
      <c r="A137" s="1"/>
      <c r="B137" s="18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ht="15.75" customHeight="1">
      <c r="A138" s="1"/>
      <c r="B138" s="18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ht="15.75" customHeight="1">
      <c r="A139" s="1"/>
      <c r="B139" s="18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ht="15.75" customHeight="1">
      <c r="A140" s="1"/>
      <c r="B140" s="18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ht="15.75" customHeight="1">
      <c r="A141" s="1"/>
      <c r="B141" s="18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ht="15.75" customHeight="1">
      <c r="A142" s="1"/>
      <c r="B142" s="18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ht="15.75" customHeight="1">
      <c r="A143" s="1"/>
      <c r="B143" s="18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ht="15.75" customHeight="1">
      <c r="A144" s="1"/>
      <c r="B144" s="18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ht="15.75" customHeight="1">
      <c r="A145" s="1"/>
      <c r="B145" s="18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ht="15.75" customHeight="1">
      <c r="A146" s="1"/>
      <c r="B146" s="18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ht="15.75" customHeight="1">
      <c r="A147" s="1"/>
      <c r="B147" s="18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ht="15.75" customHeight="1">
      <c r="A148" s="1"/>
      <c r="B148" s="18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ht="15.75" customHeight="1">
      <c r="A149" s="1"/>
      <c r="B149" s="18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ht="15.75" customHeight="1">
      <c r="A150" s="1"/>
      <c r="B150" s="18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ht="15.75" customHeight="1">
      <c r="A151" s="1"/>
      <c r="B151" s="18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ht="15.75" customHeight="1">
      <c r="A152" s="1"/>
      <c r="B152" s="18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ht="15.75" customHeight="1">
      <c r="A153" s="1"/>
      <c r="B153" s="18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ht="15.75" customHeight="1">
      <c r="A154" s="1"/>
      <c r="B154" s="18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ht="15.75" customHeight="1">
      <c r="A155" s="1"/>
      <c r="B155" s="18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ht="15.75" customHeight="1">
      <c r="A156" s="1"/>
      <c r="B156" s="18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ht="15.75" customHeight="1">
      <c r="A157" s="1"/>
      <c r="B157" s="18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ht="15.75" customHeight="1">
      <c r="A158" s="1"/>
      <c r="B158" s="18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ht="15.75" customHeight="1">
      <c r="A159" s="1"/>
      <c r="B159" s="18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ht="15.75" customHeight="1">
      <c r="A160" s="1"/>
      <c r="B160" s="18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ht="15.75" customHeight="1">
      <c r="A161" s="1"/>
      <c r="B161" s="18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ht="15.75" customHeight="1">
      <c r="A162" s="1"/>
      <c r="B162" s="18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ht="15.75" customHeight="1">
      <c r="A163" s="1"/>
      <c r="B163" s="18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ht="15.75" customHeight="1">
      <c r="A164" s="1"/>
      <c r="B164" s="18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ht="15.75" customHeight="1">
      <c r="A165" s="1"/>
      <c r="B165" s="18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ht="15.75" customHeight="1">
      <c r="A166" s="1"/>
      <c r="B166" s="18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ht="15.75" customHeight="1">
      <c r="A167" s="1"/>
      <c r="B167" s="18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ht="15.75" customHeight="1">
      <c r="A168" s="1"/>
      <c r="B168" s="18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ht="15.75" customHeight="1">
      <c r="A169" s="1"/>
      <c r="B169" s="18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ht="15.75" customHeight="1">
      <c r="A170" s="1"/>
      <c r="B170" s="18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ht="15.75" customHeight="1">
      <c r="A171" s="1"/>
      <c r="B171" s="18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ht="15.75" customHeight="1">
      <c r="A172" s="1"/>
      <c r="B172" s="18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ht="15.75" customHeight="1">
      <c r="A173" s="1"/>
      <c r="B173" s="18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ht="15.75" customHeight="1">
      <c r="A174" s="1"/>
      <c r="B174" s="18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ht="15.75" customHeight="1">
      <c r="A175" s="1"/>
      <c r="B175" s="18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ht="15.75" customHeight="1">
      <c r="A176" s="1"/>
      <c r="B176" s="18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ht="15.75" customHeight="1">
      <c r="A177" s="1"/>
      <c r="B177" s="18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ht="15.75" customHeight="1">
      <c r="A178" s="1"/>
      <c r="B178" s="18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ht="15.75" customHeight="1">
      <c r="A179" s="1"/>
      <c r="B179" s="18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ht="15.75" customHeight="1">
      <c r="A180" s="1"/>
      <c r="B180" s="18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ht="15.75" customHeight="1">
      <c r="A181" s="1"/>
      <c r="B181" s="18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ht="15.75" customHeight="1">
      <c r="A182" s="1"/>
      <c r="B182" s="18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ht="15.75" customHeight="1">
      <c r="A183" s="1"/>
      <c r="B183" s="18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ht="15.75" customHeight="1">
      <c r="A184" s="1"/>
      <c r="B184" s="18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ht="15.75" customHeight="1">
      <c r="A185" s="1"/>
      <c r="B185" s="18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ht="15.75" customHeight="1">
      <c r="A186" s="1"/>
      <c r="B186" s="18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ht="15.75" customHeight="1">
      <c r="A187" s="1"/>
      <c r="B187" s="18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ht="15.75" customHeight="1">
      <c r="A188" s="1"/>
      <c r="B188" s="18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ht="15.75" customHeight="1">
      <c r="A189" s="1"/>
      <c r="B189" s="18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ht="15.75" customHeight="1">
      <c r="A190" s="1"/>
      <c r="B190" s="18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ht="15.75" customHeight="1">
      <c r="A191" s="1"/>
      <c r="B191" s="18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ht="15.75" customHeight="1">
      <c r="A192" s="1"/>
      <c r="B192" s="18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ht="15.75" customHeight="1">
      <c r="A193" s="1"/>
      <c r="B193" s="18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ht="15.75" customHeight="1">
      <c r="A194" s="1"/>
      <c r="B194" s="18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ht="15.75" customHeight="1">
      <c r="A195" s="1"/>
      <c r="B195" s="18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ht="15.75" customHeight="1">
      <c r="A196" s="1"/>
      <c r="B196" s="18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ht="15.75" customHeight="1">
      <c r="A197" s="1"/>
      <c r="B197" s="18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ht="15.75" customHeight="1">
      <c r="A198" s="1"/>
      <c r="B198" s="18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ht="15.75" customHeight="1">
      <c r="A199" s="1"/>
      <c r="B199" s="18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ht="15.75" customHeight="1">
      <c r="A200" s="1"/>
      <c r="B200" s="18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ht="15.75" customHeight="1">
      <c r="A201" s="1"/>
      <c r="B201" s="18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ht="15.75" customHeight="1">
      <c r="A202" s="1"/>
      <c r="B202" s="18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ht="15.75" customHeight="1">
      <c r="A203" s="1"/>
      <c r="B203" s="18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ht="15.75" customHeight="1">
      <c r="A204" s="1"/>
      <c r="B204" s="18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ht="15.75" customHeight="1">
      <c r="A205" s="1"/>
      <c r="B205" s="18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ht="15.75" customHeight="1">
      <c r="A206" s="1"/>
      <c r="B206" s="18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ht="15.75" customHeight="1">
      <c r="A207" s="1"/>
      <c r="B207" s="18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ht="15.75" customHeight="1">
      <c r="A208" s="1"/>
      <c r="B208" s="18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ht="15.75" customHeight="1">
      <c r="A209" s="1"/>
      <c r="B209" s="18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ht="15.75" customHeight="1">
      <c r="A210" s="1"/>
      <c r="B210" s="18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ht="15.75" customHeight="1">
      <c r="A211" s="1"/>
      <c r="B211" s="18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ht="15.75" customHeight="1">
      <c r="A212" s="1"/>
      <c r="B212" s="18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ht="15.75" customHeight="1">
      <c r="A213" s="1"/>
      <c r="B213" s="18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ht="15.75" customHeight="1">
      <c r="A214" s="1"/>
      <c r="B214" s="18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ht="15.75" customHeight="1">
      <c r="A215" s="1"/>
      <c r="B215" s="18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ht="15.75" customHeight="1">
      <c r="A216" s="1"/>
      <c r="B216" s="18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ht="15.75" customHeight="1">
      <c r="A217" s="1"/>
      <c r="B217" s="18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ht="15.75" customHeight="1">
      <c r="A218" s="1"/>
      <c r="B218" s="18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ht="15.75" customHeight="1">
      <c r="A219" s="1"/>
      <c r="B219" s="18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ht="15.75" customHeight="1">
      <c r="A220" s="1"/>
      <c r="B220" s="18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ht="15.75" customHeight="1">
      <c r="A221" s="1"/>
      <c r="B221" s="18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ht="15.75" customHeight="1">
      <c r="A222" s="1"/>
      <c r="B222" s="18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ht="15.75" customHeight="1">
      <c r="A223" s="1"/>
      <c r="B223" s="18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ht="15.75" customHeight="1">
      <c r="A224" s="1"/>
      <c r="B224" s="18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ht="15.75" customHeight="1">
      <c r="A225" s="1"/>
      <c r="B225" s="18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ht="15.75" customHeight="1">
      <c r="A226" s="1"/>
      <c r="B226" s="18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ht="15.75" customHeight="1">
      <c r="A227" s="1"/>
      <c r="B227" s="18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ht="15.75" customHeight="1">
      <c r="A228" s="1"/>
      <c r="B228" s="18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ht="15.75" customHeight="1">
      <c r="A229" s="1"/>
      <c r="B229" s="18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ht="15.75" customHeight="1">
      <c r="A230" s="1"/>
      <c r="B230" s="18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ht="15.75" customHeight="1">
      <c r="A231" s="1"/>
      <c r="B231" s="18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 ht="15.75" customHeight="1">
      <c r="A232" s="1"/>
      <c r="B232" s="18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ht="15.75" customHeight="1">
      <c r="A233" s="1"/>
      <c r="B233" s="18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ht="15.75" customHeight="1">
      <c r="A234" s="1"/>
      <c r="B234" s="18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ht="15.75" customHeight="1">
      <c r="A235" s="1"/>
      <c r="B235" s="18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ht="15.75" customHeight="1">
      <c r="A236" s="1"/>
      <c r="B236" s="18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ht="15.75" customHeight="1">
      <c r="A237" s="1"/>
      <c r="B237" s="18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ht="15.75" customHeight="1">
      <c r="A238" s="1"/>
      <c r="B238" s="18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ht="15.75" customHeight="1">
      <c r="A239" s="1"/>
      <c r="B239" s="18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ht="15.75" customHeight="1">
      <c r="A240" s="1"/>
      <c r="B240" s="18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ht="15.75" customHeight="1">
      <c r="A241" s="1"/>
      <c r="B241" s="18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ht="15.75" customHeight="1">
      <c r="A242" s="1"/>
      <c r="B242" s="18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ht="15.75" customHeight="1">
      <c r="A243" s="1"/>
      <c r="B243" s="18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ht="15.75" customHeight="1">
      <c r="A244" s="1"/>
      <c r="B244" s="18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ht="15.75" customHeight="1">
      <c r="A245" s="1"/>
      <c r="B245" s="18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ht="15.75" customHeight="1">
      <c r="A246" s="1"/>
      <c r="B246" s="18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ht="15.75" customHeight="1">
      <c r="A247" s="1"/>
      <c r="B247" s="18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ht="15.75" customHeight="1">
      <c r="A248" s="1"/>
      <c r="B248" s="18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ht="15.75" customHeight="1">
      <c r="A249" s="1"/>
      <c r="B249" s="18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ht="15.75" customHeight="1">
      <c r="A250" s="1"/>
      <c r="B250" s="18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ht="15.75" customHeight="1">
      <c r="A251" s="1"/>
      <c r="B251" s="18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ht="15.75" customHeight="1">
      <c r="A252" s="1"/>
      <c r="B252" s="18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ht="15.75" customHeight="1">
      <c r="A253" s="1"/>
      <c r="B253" s="18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ht="15.75" customHeight="1">
      <c r="A254" s="1"/>
      <c r="B254" s="18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ht="15.75" customHeight="1">
      <c r="A255" s="1"/>
      <c r="B255" s="18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ht="15.75" customHeight="1">
      <c r="A256" s="1"/>
      <c r="B256" s="18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ht="15.75" customHeight="1">
      <c r="A257" s="1"/>
      <c r="B257" s="18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ht="15.75" customHeight="1">
      <c r="A258" s="1"/>
      <c r="B258" s="18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ht="15.75" customHeight="1">
      <c r="A259" s="1"/>
      <c r="B259" s="18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ht="15.75" customHeight="1">
      <c r="A260" s="1"/>
      <c r="B260" s="18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ht="15.75" customHeight="1">
      <c r="A261" s="1"/>
      <c r="B261" s="18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ht="15.75" customHeight="1">
      <c r="A262" s="1"/>
      <c r="B262" s="18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ht="15.75" customHeight="1">
      <c r="A263" s="1"/>
      <c r="B263" s="18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ht="15.75" customHeight="1">
      <c r="A264" s="1"/>
      <c r="B264" s="18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ht="15.75" customHeight="1">
      <c r="A265" s="1"/>
      <c r="B265" s="18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 ht="15.75" customHeight="1">
      <c r="A266" s="1"/>
      <c r="B266" s="18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 ht="15.75" customHeight="1">
      <c r="A267" s="1"/>
      <c r="B267" s="18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 ht="15.75" customHeight="1">
      <c r="A268" s="1"/>
      <c r="B268" s="18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 ht="15.75" customHeight="1">
      <c r="A269" s="1"/>
      <c r="B269" s="18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 ht="15.75" customHeight="1">
      <c r="A270" s="1"/>
      <c r="B270" s="18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 ht="15.75" customHeight="1">
      <c r="A271" s="1"/>
      <c r="B271" s="18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 ht="15.75" customHeight="1">
      <c r="A272" s="1"/>
      <c r="B272" s="18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 ht="15.75" customHeight="1">
      <c r="A273" s="1"/>
      <c r="B273" s="18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 ht="15.75" customHeight="1">
      <c r="A274" s="1"/>
      <c r="B274" s="18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 ht="15.75" customHeight="1">
      <c r="A275" s="1"/>
      <c r="B275" s="18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 ht="15.75" customHeight="1">
      <c r="A276" s="1"/>
      <c r="B276" s="18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 ht="15.75" customHeight="1">
      <c r="A277" s="1"/>
      <c r="B277" s="18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 ht="15.75" customHeight="1">
      <c r="A278" s="1"/>
      <c r="B278" s="18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 ht="15.75" customHeight="1">
      <c r="A279" s="1"/>
      <c r="B279" s="18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 ht="15.75" customHeight="1">
      <c r="A280" s="1"/>
      <c r="B280" s="18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 ht="15.75" customHeight="1">
      <c r="A281" s="1"/>
      <c r="B281" s="18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 ht="15.75" customHeight="1">
      <c r="A282" s="1"/>
      <c r="B282" s="18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 ht="15.75" customHeight="1">
      <c r="A283" s="1"/>
      <c r="B283" s="18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 ht="15.75" customHeight="1">
      <c r="A284" s="1"/>
      <c r="B284" s="18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 ht="15.75" customHeight="1">
      <c r="A285" s="1"/>
      <c r="B285" s="18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 ht="15.75" customHeight="1">
      <c r="A286" s="1"/>
      <c r="B286" s="18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 ht="15.75" customHeight="1">
      <c r="A287" s="1"/>
      <c r="B287" s="18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 ht="15.75" customHeight="1">
      <c r="A288" s="1"/>
      <c r="B288" s="18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 ht="15.75" customHeight="1">
      <c r="A289" s="1"/>
      <c r="B289" s="18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 ht="15.75" customHeight="1">
      <c r="A290" s="1"/>
      <c r="B290" s="18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 ht="15.75" customHeight="1">
      <c r="A291" s="1"/>
      <c r="B291" s="18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 ht="15.75" customHeight="1">
      <c r="A292" s="1"/>
      <c r="B292" s="18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 ht="15.75" customHeight="1">
      <c r="A293" s="1"/>
      <c r="B293" s="18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 ht="15.75" customHeight="1">
      <c r="A294" s="1"/>
      <c r="B294" s="18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 ht="15.75" customHeight="1">
      <c r="A295" s="1"/>
      <c r="B295" s="18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 ht="15.75" customHeight="1">
      <c r="A296" s="1"/>
      <c r="B296" s="18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 ht="15.75" customHeight="1">
      <c r="A297" s="1"/>
      <c r="B297" s="18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 ht="15.75" customHeight="1">
      <c r="A298" s="1"/>
      <c r="B298" s="18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 ht="15.75" customHeight="1">
      <c r="A299" s="1"/>
      <c r="B299" s="18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 ht="15.75" customHeight="1">
      <c r="A300" s="1"/>
      <c r="B300" s="18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 ht="15.75" customHeight="1">
      <c r="A301" s="1"/>
      <c r="B301" s="18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 ht="15.75" customHeight="1">
      <c r="A302" s="1"/>
      <c r="B302" s="18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 ht="15.75" customHeight="1">
      <c r="A303" s="1"/>
      <c r="B303" s="18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 ht="15.75" customHeight="1">
      <c r="A304" s="1"/>
      <c r="B304" s="18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 ht="15.75" customHeight="1">
      <c r="A305" s="1"/>
      <c r="B305" s="18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 ht="15.75" customHeight="1">
      <c r="A306" s="1"/>
      <c r="B306" s="18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 ht="15.75" customHeight="1">
      <c r="A307" s="1"/>
      <c r="B307" s="18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 ht="15.75" customHeight="1">
      <c r="A308" s="1"/>
      <c r="B308" s="18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 ht="15.75" customHeight="1">
      <c r="A309" s="1"/>
      <c r="B309" s="18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 ht="15.75" customHeight="1">
      <c r="A310" s="1"/>
      <c r="B310" s="18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 ht="15.75" customHeight="1">
      <c r="A311" s="1"/>
      <c r="B311" s="18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 ht="15.75" customHeight="1">
      <c r="A312" s="1"/>
      <c r="B312" s="18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 ht="15.75" customHeight="1">
      <c r="A313" s="1"/>
      <c r="B313" s="18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 ht="15.75" customHeight="1">
      <c r="A314" s="1"/>
      <c r="B314" s="18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 ht="15.75" customHeight="1">
      <c r="A315" s="1"/>
      <c r="B315" s="18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 ht="15.75" customHeight="1">
      <c r="A316" s="1"/>
      <c r="B316" s="18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 ht="15.75" customHeight="1">
      <c r="A317" s="1"/>
      <c r="B317" s="18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 ht="15.75" customHeight="1">
      <c r="A318" s="1"/>
      <c r="B318" s="18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 ht="15.75" customHeight="1">
      <c r="A319" s="1"/>
      <c r="B319" s="18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 ht="15.75" customHeight="1">
      <c r="A320" s="1"/>
      <c r="B320" s="18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 ht="15.75" customHeight="1">
      <c r="A321" s="1"/>
      <c r="B321" s="18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 ht="15.75" customHeight="1">
      <c r="A322" s="1"/>
      <c r="B322" s="18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 ht="15.75" customHeight="1">
      <c r="A323" s="1"/>
      <c r="B323" s="18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 ht="15.75" customHeight="1">
      <c r="A324" s="1"/>
      <c r="B324" s="18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 ht="15.75" customHeight="1">
      <c r="A325" s="1"/>
      <c r="B325" s="18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 ht="15.75" customHeight="1">
      <c r="A326" s="1"/>
      <c r="B326" s="18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 ht="15.75" customHeight="1">
      <c r="A327" s="1"/>
      <c r="B327" s="18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 ht="15.75" customHeight="1">
      <c r="A328" s="1"/>
      <c r="B328" s="18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 ht="15.75" customHeight="1">
      <c r="A329" s="1"/>
      <c r="B329" s="18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 ht="15.75" customHeight="1">
      <c r="A330" s="1"/>
      <c r="B330" s="18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 ht="15.75" customHeight="1">
      <c r="A331" s="1"/>
      <c r="B331" s="18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 ht="15.75" customHeight="1">
      <c r="A332" s="1"/>
      <c r="B332" s="18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 ht="15.75" customHeight="1">
      <c r="A333" s="1"/>
      <c r="B333" s="18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 ht="15.75" customHeight="1">
      <c r="A334" s="1"/>
      <c r="B334" s="18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 ht="15.75" customHeight="1">
      <c r="A335" s="1"/>
      <c r="B335" s="18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 ht="15.75" customHeight="1">
      <c r="A336" s="1"/>
      <c r="B336" s="18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 ht="15.75" customHeight="1">
      <c r="A337" s="1"/>
      <c r="B337" s="18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 ht="15.75" customHeight="1">
      <c r="A338" s="1"/>
      <c r="B338" s="18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 ht="15.75" customHeight="1">
      <c r="A339" s="1"/>
      <c r="B339" s="18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 ht="15.75" customHeight="1">
      <c r="A340" s="1"/>
      <c r="B340" s="18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 ht="15.75" customHeight="1">
      <c r="A341" s="1"/>
      <c r="B341" s="18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 ht="15.75" customHeight="1">
      <c r="A342" s="1"/>
      <c r="B342" s="18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 ht="15.75" customHeight="1">
      <c r="A343" s="1"/>
      <c r="B343" s="18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 ht="15.75" customHeight="1">
      <c r="A344" s="1"/>
      <c r="B344" s="18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 ht="15.75" customHeight="1">
      <c r="A345" s="1"/>
      <c r="B345" s="18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 ht="15.75" customHeight="1">
      <c r="A346" s="1"/>
      <c r="B346" s="18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 ht="15.75" customHeight="1">
      <c r="A347" s="1"/>
      <c r="B347" s="18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 ht="15.75" customHeight="1">
      <c r="A348" s="1"/>
      <c r="B348" s="18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 ht="15.75" customHeight="1">
      <c r="A349" s="1"/>
      <c r="B349" s="18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 ht="15.75" customHeight="1">
      <c r="A350" s="1"/>
      <c r="B350" s="18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 ht="15.75" customHeight="1">
      <c r="A351" s="1"/>
      <c r="B351" s="18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 ht="15.75" customHeight="1">
      <c r="A352" s="1"/>
      <c r="B352" s="18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 ht="15.75" customHeight="1">
      <c r="A353" s="1"/>
      <c r="B353" s="18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 ht="15.75" customHeight="1">
      <c r="A354" s="1"/>
      <c r="B354" s="18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 ht="15.75" customHeight="1">
      <c r="A355" s="1"/>
      <c r="B355" s="18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 ht="15.75" customHeight="1">
      <c r="A356" s="1"/>
      <c r="B356" s="18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 ht="15.75" customHeight="1">
      <c r="A357" s="1"/>
      <c r="B357" s="18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 ht="15.75" customHeight="1">
      <c r="A358" s="1"/>
      <c r="B358" s="18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 ht="15.75" customHeight="1">
      <c r="A359" s="1"/>
      <c r="B359" s="18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 ht="15.75" customHeight="1">
      <c r="A360" s="1"/>
      <c r="B360" s="18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 ht="15.75" customHeight="1">
      <c r="A361" s="1"/>
      <c r="B361" s="18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 ht="15.75" customHeight="1">
      <c r="A362" s="1"/>
      <c r="B362" s="18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 ht="15.75" customHeight="1">
      <c r="A363" s="1"/>
      <c r="B363" s="18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 ht="15.75" customHeight="1">
      <c r="A364" s="1"/>
      <c r="B364" s="18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 ht="15.75" customHeight="1">
      <c r="A365" s="1"/>
      <c r="B365" s="18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 ht="15.75" customHeight="1">
      <c r="A366" s="1"/>
      <c r="B366" s="18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 ht="15.75" customHeight="1">
      <c r="A367" s="1"/>
      <c r="B367" s="18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 ht="15.75" customHeight="1">
      <c r="A368" s="1"/>
      <c r="B368" s="18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 ht="15.75" customHeight="1">
      <c r="A369" s="1"/>
      <c r="B369" s="18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 ht="15.75" customHeight="1">
      <c r="A370" s="1"/>
      <c r="B370" s="18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 ht="15.75" customHeight="1">
      <c r="A371" s="1"/>
      <c r="B371" s="18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 ht="15.75" customHeight="1">
      <c r="A372" s="1"/>
      <c r="B372" s="18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 ht="15.75" customHeight="1">
      <c r="A373" s="1"/>
      <c r="B373" s="18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 ht="15.75" customHeight="1">
      <c r="A374" s="1"/>
      <c r="B374" s="18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 ht="15.75" customHeight="1">
      <c r="A375" s="1"/>
      <c r="B375" s="18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 ht="15.75" customHeight="1">
      <c r="A376" s="1"/>
      <c r="B376" s="18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 ht="15.75" customHeight="1">
      <c r="A377" s="1"/>
      <c r="B377" s="18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 ht="15.75" customHeight="1">
      <c r="A378" s="1"/>
      <c r="B378" s="18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 ht="15.75" customHeight="1">
      <c r="A379" s="1"/>
      <c r="B379" s="18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 ht="15.75" customHeight="1">
      <c r="A380" s="1"/>
      <c r="B380" s="18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 ht="15.75" customHeight="1">
      <c r="A381" s="1"/>
      <c r="B381" s="18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 ht="15.75" customHeight="1">
      <c r="A382" s="1"/>
      <c r="B382" s="18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 ht="15.75" customHeight="1">
      <c r="A383" s="1"/>
      <c r="B383" s="18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 ht="15.75" customHeight="1">
      <c r="A384" s="1"/>
      <c r="B384" s="18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 ht="15.75" customHeight="1">
      <c r="A385" s="1"/>
      <c r="B385" s="18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 ht="15.75" customHeight="1">
      <c r="A386" s="1"/>
      <c r="B386" s="18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 ht="15.75" customHeight="1">
      <c r="A387" s="1"/>
      <c r="B387" s="18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 ht="15.75" customHeight="1">
      <c r="A388" s="1"/>
      <c r="B388" s="18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 ht="15.75" customHeight="1">
      <c r="A389" s="1"/>
      <c r="B389" s="18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 ht="15.75" customHeight="1">
      <c r="A390" s="1"/>
      <c r="B390" s="18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 ht="15.75" customHeight="1">
      <c r="A391" s="1"/>
      <c r="B391" s="18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 ht="15.75" customHeight="1">
      <c r="A392" s="1"/>
      <c r="B392" s="18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 ht="15.75" customHeight="1">
      <c r="A393" s="1"/>
      <c r="B393" s="18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 ht="15.75" customHeight="1">
      <c r="A394" s="1"/>
      <c r="B394" s="18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 ht="15.75" customHeight="1">
      <c r="A395" s="1"/>
      <c r="B395" s="18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 ht="15.75" customHeight="1">
      <c r="A396" s="1"/>
      <c r="B396" s="18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 ht="15.75" customHeight="1">
      <c r="A397" s="1"/>
      <c r="B397" s="18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 ht="15.75" customHeight="1">
      <c r="A398" s="1"/>
      <c r="B398" s="18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 ht="15.75" customHeight="1">
      <c r="A399" s="1"/>
      <c r="B399" s="18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 ht="15.75" customHeight="1">
      <c r="A400" s="1"/>
      <c r="B400" s="18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 ht="15.75" customHeight="1">
      <c r="A401" s="1"/>
      <c r="B401" s="18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 ht="15.75" customHeight="1">
      <c r="A402" s="1"/>
      <c r="B402" s="18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 ht="15.75" customHeight="1">
      <c r="A403" s="1"/>
      <c r="B403" s="18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 ht="15.75" customHeight="1">
      <c r="A404" s="1"/>
      <c r="B404" s="18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 ht="15.75" customHeight="1">
      <c r="A405" s="1"/>
      <c r="B405" s="18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 ht="15.75" customHeight="1">
      <c r="A406" s="1"/>
      <c r="B406" s="18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 ht="15.75" customHeight="1">
      <c r="A407" s="1"/>
      <c r="B407" s="18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 ht="15.75" customHeight="1">
      <c r="A408" s="1"/>
      <c r="B408" s="18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 ht="15.75" customHeight="1">
      <c r="A409" s="1"/>
      <c r="B409" s="18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 ht="15.75" customHeight="1">
      <c r="A410" s="1"/>
      <c r="B410" s="18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 ht="15.75" customHeight="1">
      <c r="A411" s="1"/>
      <c r="B411" s="18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 ht="15.75" customHeight="1">
      <c r="A412" s="1"/>
      <c r="B412" s="18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 ht="15.75" customHeight="1">
      <c r="A413" s="1"/>
      <c r="B413" s="18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 ht="15.75" customHeight="1">
      <c r="A414" s="1"/>
      <c r="B414" s="18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 ht="15.75" customHeight="1">
      <c r="A415" s="1"/>
      <c r="B415" s="18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 ht="15.75" customHeight="1">
      <c r="A416" s="1"/>
      <c r="B416" s="18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 ht="15.75" customHeight="1">
      <c r="A417" s="1"/>
      <c r="B417" s="18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 ht="15.75" customHeight="1">
      <c r="A418" s="1"/>
      <c r="B418" s="18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 ht="15.75" customHeight="1">
      <c r="A419" s="1"/>
      <c r="B419" s="18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 ht="15.75" customHeight="1">
      <c r="A420" s="1"/>
      <c r="B420" s="18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 ht="15.75" customHeight="1">
      <c r="A421" s="1"/>
      <c r="B421" s="18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 ht="15.75" customHeight="1">
      <c r="A422" s="1"/>
      <c r="B422" s="18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 ht="15.75" customHeight="1">
      <c r="A423" s="1"/>
      <c r="B423" s="18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 ht="15.75" customHeight="1">
      <c r="A424" s="1"/>
      <c r="B424" s="18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 ht="15.75" customHeight="1">
      <c r="A425" s="1"/>
      <c r="B425" s="18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 ht="15.75" customHeight="1">
      <c r="A426" s="1"/>
      <c r="B426" s="18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 ht="15.75" customHeight="1">
      <c r="A427" s="1"/>
      <c r="B427" s="18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 ht="15.75" customHeight="1">
      <c r="A428" s="1"/>
      <c r="B428" s="18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 ht="15.75" customHeight="1">
      <c r="A429" s="1"/>
      <c r="B429" s="18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 ht="15.75" customHeight="1">
      <c r="A430" s="1"/>
      <c r="B430" s="18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 ht="15.75" customHeight="1">
      <c r="A431" s="1"/>
      <c r="B431" s="18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 ht="15.75" customHeight="1">
      <c r="A432" s="1"/>
      <c r="B432" s="18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 ht="15.75" customHeight="1">
      <c r="A433" s="1"/>
      <c r="B433" s="18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 ht="15.75" customHeight="1">
      <c r="A434" s="1"/>
      <c r="B434" s="18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 ht="15.75" customHeight="1">
      <c r="A435" s="1"/>
      <c r="B435" s="18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 ht="15.75" customHeight="1">
      <c r="A436" s="1"/>
      <c r="B436" s="18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 ht="15.75" customHeight="1">
      <c r="A437" s="1"/>
      <c r="B437" s="18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 ht="15.75" customHeight="1">
      <c r="A438" s="1"/>
      <c r="B438" s="18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 ht="15.75" customHeight="1">
      <c r="A439" s="1"/>
      <c r="B439" s="18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 ht="15.75" customHeight="1">
      <c r="A440" s="1"/>
      <c r="B440" s="18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 ht="15.75" customHeight="1">
      <c r="A441" s="1"/>
      <c r="B441" s="18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 ht="15.75" customHeight="1">
      <c r="A442" s="1"/>
      <c r="B442" s="18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 ht="15.75" customHeight="1">
      <c r="A443" s="1"/>
      <c r="B443" s="18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 ht="15.75" customHeight="1">
      <c r="A444" s="1"/>
      <c r="B444" s="18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 ht="15.75" customHeight="1">
      <c r="A445" s="1"/>
      <c r="B445" s="18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 ht="15.75" customHeight="1">
      <c r="A446" s="1"/>
      <c r="B446" s="18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 ht="15.75" customHeight="1">
      <c r="A447" s="1"/>
      <c r="B447" s="18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 ht="15.75" customHeight="1">
      <c r="A448" s="1"/>
      <c r="B448" s="18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 ht="15.75" customHeight="1">
      <c r="A449" s="1"/>
      <c r="B449" s="18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 ht="15.75" customHeight="1">
      <c r="A450" s="1"/>
      <c r="B450" s="18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 ht="15.75" customHeight="1">
      <c r="A451" s="1"/>
      <c r="B451" s="18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 ht="15.75" customHeight="1">
      <c r="A452" s="1"/>
      <c r="B452" s="18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 ht="15.75" customHeight="1">
      <c r="A453" s="1"/>
      <c r="B453" s="18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 ht="15.75" customHeight="1">
      <c r="A454" s="1"/>
      <c r="B454" s="18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 ht="15.75" customHeight="1">
      <c r="A455" s="1"/>
      <c r="B455" s="18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 ht="15.75" customHeight="1">
      <c r="A456" s="1"/>
      <c r="B456" s="18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 ht="15.75" customHeight="1">
      <c r="A457" s="1"/>
      <c r="B457" s="18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 ht="15.75" customHeight="1">
      <c r="A458" s="1"/>
      <c r="B458" s="18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 ht="15.75" customHeight="1">
      <c r="A459" s="1"/>
      <c r="B459" s="18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 ht="15.75" customHeight="1">
      <c r="A460" s="1"/>
      <c r="B460" s="18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 ht="15.75" customHeight="1">
      <c r="A461" s="1"/>
      <c r="B461" s="18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 ht="15.75" customHeight="1">
      <c r="A462" s="1"/>
      <c r="B462" s="18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 ht="15.75" customHeight="1">
      <c r="A463" s="1"/>
      <c r="B463" s="18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 ht="15.75" customHeight="1">
      <c r="A464" s="1"/>
      <c r="B464" s="18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 ht="15.75" customHeight="1">
      <c r="A465" s="1"/>
      <c r="B465" s="18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 ht="15.75" customHeight="1">
      <c r="A466" s="1"/>
      <c r="B466" s="18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 ht="15.75" customHeight="1">
      <c r="A467" s="1"/>
      <c r="B467" s="18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 ht="15.75" customHeight="1">
      <c r="A468" s="1"/>
      <c r="B468" s="18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 ht="15.75" customHeight="1">
      <c r="A469" s="1"/>
      <c r="B469" s="18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 ht="15.75" customHeight="1">
      <c r="A470" s="1"/>
      <c r="B470" s="18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 ht="15.75" customHeight="1">
      <c r="A471" s="1"/>
      <c r="B471" s="18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 ht="15.75" customHeight="1">
      <c r="A472" s="1"/>
      <c r="B472" s="18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 ht="15.75" customHeight="1">
      <c r="A473" s="1"/>
      <c r="B473" s="18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 ht="15.75" customHeight="1">
      <c r="A474" s="1"/>
      <c r="B474" s="18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 ht="15.75" customHeight="1">
      <c r="A475" s="1"/>
      <c r="B475" s="18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 ht="15.75" customHeight="1">
      <c r="A476" s="1"/>
      <c r="B476" s="18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 ht="15.75" customHeight="1">
      <c r="A477" s="1"/>
      <c r="B477" s="18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 ht="15.75" customHeight="1">
      <c r="A478" s="1"/>
      <c r="B478" s="18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 ht="15.75" customHeight="1">
      <c r="A479" s="1"/>
      <c r="B479" s="18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 ht="15.75" customHeight="1">
      <c r="A480" s="1"/>
      <c r="B480" s="18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 ht="15.75" customHeight="1">
      <c r="A481" s="1"/>
      <c r="B481" s="18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 ht="15.75" customHeight="1">
      <c r="A482" s="1"/>
      <c r="B482" s="18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 ht="15.75" customHeight="1">
      <c r="A483" s="1"/>
      <c r="B483" s="18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 ht="15.75" customHeight="1">
      <c r="A484" s="1"/>
      <c r="B484" s="18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 ht="15.75" customHeight="1">
      <c r="A485" s="1"/>
      <c r="B485" s="18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 ht="15.75" customHeight="1">
      <c r="A486" s="1"/>
      <c r="B486" s="18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 ht="15.75" customHeight="1">
      <c r="A487" s="1"/>
      <c r="B487" s="18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 ht="15.75" customHeight="1">
      <c r="A488" s="1"/>
      <c r="B488" s="18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 ht="15.75" customHeight="1">
      <c r="A489" s="1"/>
      <c r="B489" s="18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 ht="15.75" customHeight="1">
      <c r="A490" s="1"/>
      <c r="B490" s="18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 ht="15.75" customHeight="1">
      <c r="A491" s="1"/>
      <c r="B491" s="18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 ht="15.75" customHeight="1">
      <c r="A492" s="1"/>
      <c r="B492" s="18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 ht="15.75" customHeight="1">
      <c r="A493" s="1"/>
      <c r="B493" s="18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 ht="15.75" customHeight="1">
      <c r="A494" s="1"/>
      <c r="B494" s="18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 ht="15.75" customHeight="1">
      <c r="A495" s="1"/>
      <c r="B495" s="18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 ht="15.75" customHeight="1">
      <c r="A496" s="1"/>
      <c r="B496" s="18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 ht="15.75" customHeight="1">
      <c r="A497" s="1"/>
      <c r="B497" s="18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 ht="15.75" customHeight="1">
      <c r="A498" s="1"/>
      <c r="B498" s="18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 ht="15.75" customHeight="1">
      <c r="A499" s="1"/>
      <c r="B499" s="18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 ht="15.75" customHeight="1">
      <c r="A500" s="1"/>
      <c r="B500" s="18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 ht="15.75" customHeight="1">
      <c r="A501" s="1"/>
      <c r="B501" s="18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 ht="15.75" customHeight="1">
      <c r="A502" s="1"/>
      <c r="B502" s="18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 ht="15.75" customHeight="1">
      <c r="A503" s="1"/>
      <c r="B503" s="18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 ht="15.75" customHeight="1">
      <c r="A504" s="1"/>
      <c r="B504" s="18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 ht="15.75" customHeight="1">
      <c r="A505" s="1"/>
      <c r="B505" s="18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 ht="15.75" customHeight="1">
      <c r="A506" s="1"/>
      <c r="B506" s="18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 ht="15.75" customHeight="1">
      <c r="A507" s="1"/>
      <c r="B507" s="18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 ht="15.75" customHeight="1">
      <c r="A508" s="1"/>
      <c r="B508" s="18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 ht="15.75" customHeight="1">
      <c r="A509" s="1"/>
      <c r="B509" s="18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 ht="15.75" customHeight="1">
      <c r="A510" s="1"/>
      <c r="B510" s="18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 ht="15.75" customHeight="1">
      <c r="A511" s="1"/>
      <c r="B511" s="18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 ht="15.75" customHeight="1">
      <c r="A512" s="1"/>
      <c r="B512" s="18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 ht="15.75" customHeight="1">
      <c r="A513" s="1"/>
      <c r="B513" s="18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 ht="15.75" customHeight="1">
      <c r="A514" s="1"/>
      <c r="B514" s="18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 ht="15.75" customHeight="1">
      <c r="A515" s="1"/>
      <c r="B515" s="18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 ht="15.75" customHeight="1">
      <c r="A516" s="1"/>
      <c r="B516" s="18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 ht="15.75" customHeight="1">
      <c r="A517" s="1"/>
      <c r="B517" s="18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 ht="15.75" customHeight="1">
      <c r="A518" s="1"/>
      <c r="B518" s="18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 ht="15.75" customHeight="1">
      <c r="A519" s="1"/>
      <c r="B519" s="18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 ht="15.75" customHeight="1">
      <c r="A520" s="1"/>
      <c r="B520" s="18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 ht="15.75" customHeight="1">
      <c r="A521" s="1"/>
      <c r="B521" s="18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 ht="15.75" customHeight="1">
      <c r="A522" s="1"/>
      <c r="B522" s="18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 ht="15.75" customHeight="1">
      <c r="A523" s="1"/>
      <c r="B523" s="18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 ht="15.75" customHeight="1">
      <c r="A524" s="1"/>
      <c r="B524" s="18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 ht="15.75" customHeight="1">
      <c r="A525" s="1"/>
      <c r="B525" s="18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 ht="15.75" customHeight="1">
      <c r="A526" s="1"/>
      <c r="B526" s="18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 ht="15.75" customHeight="1">
      <c r="A527" s="1"/>
      <c r="B527" s="18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 ht="15.75" customHeight="1">
      <c r="A528" s="1"/>
      <c r="B528" s="18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 ht="15.75" customHeight="1">
      <c r="A529" s="1"/>
      <c r="B529" s="18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 ht="15.75" customHeight="1">
      <c r="A530" s="1"/>
      <c r="B530" s="18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 ht="15.75" customHeight="1">
      <c r="A531" s="1"/>
      <c r="B531" s="18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 ht="15.75" customHeight="1">
      <c r="A532" s="1"/>
      <c r="B532" s="18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 ht="15.75" customHeight="1">
      <c r="A533" s="1"/>
      <c r="B533" s="18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 ht="15.75" customHeight="1">
      <c r="A534" s="1"/>
      <c r="B534" s="18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 ht="15.75" customHeight="1">
      <c r="A535" s="1"/>
      <c r="B535" s="18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 ht="15.75" customHeight="1">
      <c r="A536" s="1"/>
      <c r="B536" s="18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 ht="15.75" customHeight="1">
      <c r="A537" s="1"/>
      <c r="B537" s="18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 ht="15.75" customHeight="1">
      <c r="A538" s="1"/>
      <c r="B538" s="18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 ht="15.75" customHeight="1">
      <c r="A539" s="1"/>
      <c r="B539" s="18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 ht="15.75" customHeight="1">
      <c r="A540" s="1"/>
      <c r="B540" s="18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 ht="15.75" customHeight="1">
      <c r="A541" s="1"/>
      <c r="B541" s="18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 ht="15.75" customHeight="1">
      <c r="A542" s="1"/>
      <c r="B542" s="18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 ht="15.75" customHeight="1">
      <c r="A543" s="1"/>
      <c r="B543" s="18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</row>
    <row r="544" ht="15.75" customHeight="1">
      <c r="A544" s="1"/>
      <c r="B544" s="18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</row>
    <row r="545" ht="15.75" customHeight="1">
      <c r="A545" s="1"/>
      <c r="B545" s="18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</row>
    <row r="546" ht="15.75" customHeight="1">
      <c r="A546" s="1"/>
      <c r="B546" s="18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</row>
    <row r="547" ht="15.75" customHeight="1">
      <c r="A547" s="1"/>
      <c r="B547" s="18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</row>
    <row r="548" ht="15.75" customHeight="1">
      <c r="A548" s="1"/>
      <c r="B548" s="18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</row>
    <row r="549" ht="15.75" customHeight="1">
      <c r="A549" s="1"/>
      <c r="B549" s="18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</row>
    <row r="550" ht="15.75" customHeight="1">
      <c r="A550" s="1"/>
      <c r="B550" s="18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</row>
    <row r="551" ht="15.75" customHeight="1">
      <c r="A551" s="1"/>
      <c r="B551" s="18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</row>
    <row r="552" ht="15.75" customHeight="1">
      <c r="A552" s="1"/>
      <c r="B552" s="18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</row>
    <row r="553" ht="15.75" customHeight="1">
      <c r="A553" s="1"/>
      <c r="B553" s="18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</row>
    <row r="554" ht="15.75" customHeight="1">
      <c r="A554" s="1"/>
      <c r="B554" s="18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</row>
    <row r="555" ht="15.75" customHeight="1">
      <c r="A555" s="1"/>
      <c r="B555" s="18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</row>
    <row r="556" ht="15.75" customHeight="1">
      <c r="A556" s="1"/>
      <c r="B556" s="18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</row>
    <row r="557" ht="15.75" customHeight="1">
      <c r="A557" s="1"/>
      <c r="B557" s="18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</row>
    <row r="558" ht="15.75" customHeight="1">
      <c r="A558" s="1"/>
      <c r="B558" s="18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</row>
    <row r="559" ht="15.75" customHeight="1">
      <c r="A559" s="1"/>
      <c r="B559" s="18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</row>
    <row r="560" ht="15.75" customHeight="1">
      <c r="A560" s="1"/>
      <c r="B560" s="18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</row>
    <row r="561" ht="15.75" customHeight="1">
      <c r="A561" s="1"/>
      <c r="B561" s="18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</row>
    <row r="562" ht="15.75" customHeight="1">
      <c r="A562" s="1"/>
      <c r="B562" s="18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</row>
    <row r="563" ht="15.75" customHeight="1">
      <c r="A563" s="1"/>
      <c r="B563" s="18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</row>
    <row r="564" ht="15.75" customHeight="1">
      <c r="A564" s="1"/>
      <c r="B564" s="18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</row>
    <row r="565" ht="15.75" customHeight="1">
      <c r="A565" s="1"/>
      <c r="B565" s="18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</row>
    <row r="566" ht="15.75" customHeight="1">
      <c r="A566" s="1"/>
      <c r="B566" s="18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</row>
    <row r="567" ht="15.75" customHeight="1">
      <c r="A567" s="1"/>
      <c r="B567" s="18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</row>
    <row r="568" ht="15.75" customHeight="1">
      <c r="A568" s="1"/>
      <c r="B568" s="18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</row>
    <row r="569" ht="15.75" customHeight="1">
      <c r="A569" s="1"/>
      <c r="B569" s="18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</row>
    <row r="570" ht="15.75" customHeight="1">
      <c r="A570" s="1"/>
      <c r="B570" s="18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</row>
    <row r="571" ht="15.75" customHeight="1">
      <c r="A571" s="1"/>
      <c r="B571" s="18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</row>
    <row r="572" ht="15.75" customHeight="1">
      <c r="A572" s="1"/>
      <c r="B572" s="18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</row>
    <row r="573" ht="15.75" customHeight="1">
      <c r="A573" s="1"/>
      <c r="B573" s="18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</row>
    <row r="574" ht="15.75" customHeight="1">
      <c r="A574" s="1"/>
      <c r="B574" s="18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</row>
    <row r="575" ht="15.75" customHeight="1">
      <c r="A575" s="1"/>
      <c r="B575" s="18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</row>
    <row r="576" ht="15.75" customHeight="1">
      <c r="A576" s="1"/>
      <c r="B576" s="18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</row>
    <row r="577" ht="15.75" customHeight="1">
      <c r="A577" s="1"/>
      <c r="B577" s="18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</row>
    <row r="578" ht="15.75" customHeight="1">
      <c r="A578" s="1"/>
      <c r="B578" s="18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</row>
    <row r="579" ht="15.75" customHeight="1">
      <c r="A579" s="1"/>
      <c r="B579" s="18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</row>
    <row r="580" ht="15.75" customHeight="1">
      <c r="A580" s="1"/>
      <c r="B580" s="18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</row>
    <row r="581" ht="15.75" customHeight="1">
      <c r="A581" s="1"/>
      <c r="B581" s="18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</row>
    <row r="582" ht="15.75" customHeight="1">
      <c r="A582" s="1"/>
      <c r="B582" s="18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</row>
    <row r="583" ht="15.75" customHeight="1">
      <c r="A583" s="1"/>
      <c r="B583" s="18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</row>
    <row r="584" ht="15.75" customHeight="1">
      <c r="A584" s="1"/>
      <c r="B584" s="18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</row>
    <row r="585" ht="15.75" customHeight="1">
      <c r="A585" s="1"/>
      <c r="B585" s="18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</row>
    <row r="586" ht="15.75" customHeight="1">
      <c r="A586" s="1"/>
      <c r="B586" s="18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</row>
    <row r="587" ht="15.75" customHeight="1">
      <c r="A587" s="1"/>
      <c r="B587" s="18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</row>
    <row r="588" ht="15.75" customHeight="1">
      <c r="A588" s="1"/>
      <c r="B588" s="18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</row>
    <row r="589" ht="15.75" customHeight="1">
      <c r="A589" s="1"/>
      <c r="B589" s="18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</row>
    <row r="590" ht="15.75" customHeight="1">
      <c r="A590" s="1"/>
      <c r="B590" s="18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</row>
    <row r="591" ht="15.75" customHeight="1">
      <c r="A591" s="1"/>
      <c r="B591" s="18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</row>
    <row r="592" ht="15.75" customHeight="1">
      <c r="A592" s="1"/>
      <c r="B592" s="18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</row>
    <row r="593" ht="15.75" customHeight="1">
      <c r="A593" s="1"/>
      <c r="B593" s="18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</row>
    <row r="594" ht="15.75" customHeight="1">
      <c r="A594" s="1"/>
      <c r="B594" s="18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</row>
    <row r="595" ht="15.75" customHeight="1">
      <c r="A595" s="1"/>
      <c r="B595" s="18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</row>
    <row r="596" ht="15.75" customHeight="1">
      <c r="A596" s="1"/>
      <c r="B596" s="18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</row>
    <row r="597" ht="15.75" customHeight="1">
      <c r="A597" s="1"/>
      <c r="B597" s="18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</row>
    <row r="598" ht="15.75" customHeight="1">
      <c r="A598" s="1"/>
      <c r="B598" s="18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</row>
    <row r="599" ht="15.75" customHeight="1">
      <c r="A599" s="1"/>
      <c r="B599" s="18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</row>
    <row r="600" ht="15.75" customHeight="1">
      <c r="A600" s="1"/>
      <c r="B600" s="18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</row>
    <row r="601" ht="15.75" customHeight="1">
      <c r="A601" s="1"/>
      <c r="B601" s="18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</row>
    <row r="602" ht="15.75" customHeight="1">
      <c r="A602" s="1"/>
      <c r="B602" s="18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</row>
    <row r="603" ht="15.75" customHeight="1">
      <c r="A603" s="1"/>
      <c r="B603" s="18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</row>
    <row r="604" ht="15.75" customHeight="1">
      <c r="A604" s="1"/>
      <c r="B604" s="18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</row>
    <row r="605" ht="15.75" customHeight="1">
      <c r="A605" s="1"/>
      <c r="B605" s="18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</row>
    <row r="606" ht="15.75" customHeight="1">
      <c r="A606" s="1"/>
      <c r="B606" s="18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</row>
    <row r="607" ht="15.75" customHeight="1">
      <c r="A607" s="1"/>
      <c r="B607" s="18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</row>
    <row r="608" ht="15.75" customHeight="1">
      <c r="A608" s="1"/>
      <c r="B608" s="18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</row>
    <row r="609" ht="15.75" customHeight="1">
      <c r="A609" s="1"/>
      <c r="B609" s="18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</row>
    <row r="610" ht="15.75" customHeight="1">
      <c r="A610" s="1"/>
      <c r="B610" s="18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</row>
    <row r="611" ht="15.75" customHeight="1">
      <c r="A611" s="1"/>
      <c r="B611" s="18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</row>
    <row r="612" ht="15.75" customHeight="1">
      <c r="A612" s="1"/>
      <c r="B612" s="18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</row>
    <row r="613" ht="15.75" customHeight="1">
      <c r="A613" s="1"/>
      <c r="B613" s="18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</row>
    <row r="614" ht="15.75" customHeight="1">
      <c r="A614" s="1"/>
      <c r="B614" s="18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</row>
    <row r="615" ht="15.75" customHeight="1">
      <c r="A615" s="1"/>
      <c r="B615" s="18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</row>
    <row r="616" ht="15.75" customHeight="1">
      <c r="A616" s="1"/>
      <c r="B616" s="18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</row>
    <row r="617" ht="15.75" customHeight="1">
      <c r="A617" s="1"/>
      <c r="B617" s="18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</row>
    <row r="618" ht="15.75" customHeight="1">
      <c r="A618" s="1"/>
      <c r="B618" s="18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</row>
    <row r="619" ht="15.75" customHeight="1">
      <c r="A619" s="1"/>
      <c r="B619" s="18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</row>
    <row r="620" ht="15.75" customHeight="1">
      <c r="A620" s="1"/>
      <c r="B620" s="18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</row>
    <row r="621" ht="15.75" customHeight="1">
      <c r="A621" s="1"/>
      <c r="B621" s="18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</row>
    <row r="622" ht="15.75" customHeight="1">
      <c r="A622" s="1"/>
      <c r="B622" s="18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</row>
    <row r="623" ht="15.75" customHeight="1">
      <c r="A623" s="1"/>
      <c r="B623" s="18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</row>
    <row r="624" ht="15.75" customHeight="1">
      <c r="A624" s="1"/>
      <c r="B624" s="18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</row>
    <row r="625" ht="15.75" customHeight="1">
      <c r="A625" s="1"/>
      <c r="B625" s="18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</row>
    <row r="626" ht="15.75" customHeight="1">
      <c r="A626" s="1"/>
      <c r="B626" s="18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</row>
    <row r="627" ht="15.75" customHeight="1">
      <c r="A627" s="1"/>
      <c r="B627" s="18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</row>
    <row r="628" ht="15.75" customHeight="1">
      <c r="A628" s="1"/>
      <c r="B628" s="18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</row>
    <row r="629" ht="15.75" customHeight="1">
      <c r="A629" s="1"/>
      <c r="B629" s="18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</row>
    <row r="630" ht="15.75" customHeight="1">
      <c r="A630" s="1"/>
      <c r="B630" s="18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</row>
    <row r="631" ht="15.75" customHeight="1">
      <c r="A631" s="1"/>
      <c r="B631" s="18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</row>
    <row r="632" ht="15.75" customHeight="1">
      <c r="A632" s="1"/>
      <c r="B632" s="18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</row>
    <row r="633" ht="15.75" customHeight="1">
      <c r="A633" s="1"/>
      <c r="B633" s="18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</row>
    <row r="634" ht="15.75" customHeight="1">
      <c r="A634" s="1"/>
      <c r="B634" s="18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</row>
    <row r="635" ht="15.75" customHeight="1">
      <c r="A635" s="1"/>
      <c r="B635" s="18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</row>
    <row r="636" ht="15.75" customHeight="1">
      <c r="A636" s="1"/>
      <c r="B636" s="18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</row>
    <row r="637" ht="15.75" customHeight="1">
      <c r="A637" s="1"/>
      <c r="B637" s="18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</row>
    <row r="638" ht="15.75" customHeight="1">
      <c r="A638" s="1"/>
      <c r="B638" s="18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</row>
    <row r="639" ht="15.75" customHeight="1">
      <c r="A639" s="1"/>
      <c r="B639" s="18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</row>
    <row r="640" ht="15.75" customHeight="1">
      <c r="A640" s="1"/>
      <c r="B640" s="18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</row>
    <row r="641" ht="15.75" customHeight="1">
      <c r="A641" s="1"/>
      <c r="B641" s="18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</row>
    <row r="642" ht="15.75" customHeight="1">
      <c r="A642" s="1"/>
      <c r="B642" s="18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</row>
    <row r="643" ht="15.75" customHeight="1">
      <c r="A643" s="1"/>
      <c r="B643" s="18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</row>
    <row r="644" ht="15.75" customHeight="1">
      <c r="A644" s="1"/>
      <c r="B644" s="18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</row>
    <row r="645" ht="15.75" customHeight="1">
      <c r="A645" s="1"/>
      <c r="B645" s="18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</row>
    <row r="646" ht="15.75" customHeight="1">
      <c r="A646" s="1"/>
      <c r="B646" s="18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</row>
    <row r="647" ht="15.75" customHeight="1">
      <c r="A647" s="1"/>
      <c r="B647" s="18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</row>
    <row r="648" ht="15.75" customHeight="1">
      <c r="A648" s="1"/>
      <c r="B648" s="18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</row>
    <row r="649" ht="15.75" customHeight="1">
      <c r="A649" s="1"/>
      <c r="B649" s="18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</row>
    <row r="650" ht="15.75" customHeight="1">
      <c r="A650" s="1"/>
      <c r="B650" s="18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</row>
    <row r="651" ht="15.75" customHeight="1">
      <c r="A651" s="1"/>
      <c r="B651" s="18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</row>
    <row r="652" ht="15.75" customHeight="1">
      <c r="A652" s="1"/>
      <c r="B652" s="18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</row>
    <row r="653" ht="15.75" customHeight="1">
      <c r="A653" s="1"/>
      <c r="B653" s="18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</row>
    <row r="654" ht="15.75" customHeight="1">
      <c r="A654" s="1"/>
      <c r="B654" s="18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</row>
    <row r="655" ht="15.75" customHeight="1">
      <c r="A655" s="1"/>
      <c r="B655" s="18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</row>
    <row r="656" ht="15.75" customHeight="1">
      <c r="A656" s="1"/>
      <c r="B656" s="18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</row>
    <row r="657" ht="15.75" customHeight="1">
      <c r="A657" s="1"/>
      <c r="B657" s="18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</row>
    <row r="658" ht="15.75" customHeight="1">
      <c r="A658" s="1"/>
      <c r="B658" s="18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</row>
    <row r="659" ht="15.75" customHeight="1">
      <c r="A659" s="1"/>
      <c r="B659" s="18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</row>
    <row r="660" ht="15.75" customHeight="1">
      <c r="A660" s="1"/>
      <c r="B660" s="18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</row>
    <row r="661" ht="15.75" customHeight="1">
      <c r="A661" s="1"/>
      <c r="B661" s="18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</row>
    <row r="662" ht="15.75" customHeight="1">
      <c r="A662" s="1"/>
      <c r="B662" s="18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</row>
    <row r="663" ht="15.75" customHeight="1">
      <c r="A663" s="1"/>
      <c r="B663" s="18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</row>
    <row r="664" ht="15.75" customHeight="1">
      <c r="A664" s="1"/>
      <c r="B664" s="18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</row>
    <row r="665" ht="15.75" customHeight="1">
      <c r="A665" s="1"/>
      <c r="B665" s="18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</row>
    <row r="666" ht="15.75" customHeight="1">
      <c r="A666" s="1"/>
      <c r="B666" s="18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</row>
    <row r="667" ht="15.75" customHeight="1">
      <c r="A667" s="1"/>
      <c r="B667" s="18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</row>
    <row r="668" ht="15.75" customHeight="1">
      <c r="A668" s="1"/>
      <c r="B668" s="18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</row>
    <row r="669" ht="15.75" customHeight="1">
      <c r="A669" s="1"/>
      <c r="B669" s="18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</row>
    <row r="670" ht="15.75" customHeight="1">
      <c r="A670" s="1"/>
      <c r="B670" s="18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</row>
    <row r="671" ht="15.75" customHeight="1">
      <c r="A671" s="1"/>
      <c r="B671" s="18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</row>
    <row r="672" ht="15.75" customHeight="1">
      <c r="A672" s="1"/>
      <c r="B672" s="18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</row>
    <row r="673" ht="15.75" customHeight="1">
      <c r="A673" s="1"/>
      <c r="B673" s="18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</row>
    <row r="674" ht="15.75" customHeight="1">
      <c r="A674" s="1"/>
      <c r="B674" s="18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</row>
    <row r="675" ht="15.75" customHeight="1">
      <c r="A675" s="1"/>
      <c r="B675" s="18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</row>
    <row r="676" ht="15.75" customHeight="1">
      <c r="A676" s="1"/>
      <c r="B676" s="18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</row>
    <row r="677" ht="15.75" customHeight="1">
      <c r="A677" s="1"/>
      <c r="B677" s="18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</row>
    <row r="678" ht="15.75" customHeight="1">
      <c r="A678" s="1"/>
      <c r="B678" s="18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</row>
    <row r="679" ht="15.75" customHeight="1">
      <c r="A679" s="1"/>
      <c r="B679" s="18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</row>
    <row r="680" ht="15.75" customHeight="1">
      <c r="A680" s="1"/>
      <c r="B680" s="18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</row>
    <row r="681" ht="15.75" customHeight="1">
      <c r="A681" s="1"/>
      <c r="B681" s="18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</row>
    <row r="682" ht="15.75" customHeight="1">
      <c r="A682" s="1"/>
      <c r="B682" s="18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</row>
    <row r="683" ht="15.75" customHeight="1">
      <c r="A683" s="1"/>
      <c r="B683" s="18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</row>
    <row r="684" ht="15.75" customHeight="1">
      <c r="A684" s="1"/>
      <c r="B684" s="18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</row>
    <row r="685" ht="15.75" customHeight="1">
      <c r="A685" s="1"/>
      <c r="B685" s="18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</row>
    <row r="686" ht="15.75" customHeight="1">
      <c r="A686" s="1"/>
      <c r="B686" s="18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</row>
    <row r="687" ht="15.75" customHeight="1">
      <c r="A687" s="1"/>
      <c r="B687" s="18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</row>
    <row r="688" ht="15.75" customHeight="1">
      <c r="A688" s="1"/>
      <c r="B688" s="18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</row>
    <row r="689" ht="15.75" customHeight="1">
      <c r="A689" s="1"/>
      <c r="B689" s="18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</row>
    <row r="690" ht="15.75" customHeight="1">
      <c r="A690" s="1"/>
      <c r="B690" s="18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</row>
    <row r="691" ht="15.75" customHeight="1">
      <c r="A691" s="1"/>
      <c r="B691" s="18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</row>
    <row r="692" ht="15.75" customHeight="1">
      <c r="A692" s="1"/>
      <c r="B692" s="18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</row>
    <row r="693" ht="15.75" customHeight="1">
      <c r="A693" s="1"/>
      <c r="B693" s="18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</row>
    <row r="694" ht="15.75" customHeight="1">
      <c r="A694" s="1"/>
      <c r="B694" s="18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</row>
    <row r="695" ht="15.75" customHeight="1">
      <c r="A695" s="1"/>
      <c r="B695" s="18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</row>
    <row r="696" ht="15.75" customHeight="1">
      <c r="A696" s="1"/>
      <c r="B696" s="18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</row>
    <row r="697" ht="15.75" customHeight="1">
      <c r="A697" s="1"/>
      <c r="B697" s="18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</row>
    <row r="698" ht="15.75" customHeight="1">
      <c r="A698" s="1"/>
      <c r="B698" s="18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</row>
    <row r="699" ht="15.75" customHeight="1">
      <c r="A699" s="1"/>
      <c r="B699" s="18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</row>
    <row r="700" ht="15.75" customHeight="1">
      <c r="A700" s="1"/>
      <c r="B700" s="18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</row>
    <row r="701" ht="15.75" customHeight="1">
      <c r="A701" s="1"/>
      <c r="B701" s="18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</row>
    <row r="702" ht="15.75" customHeight="1">
      <c r="A702" s="1"/>
      <c r="B702" s="18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</row>
    <row r="703" ht="15.75" customHeight="1">
      <c r="A703" s="1"/>
      <c r="B703" s="18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</row>
    <row r="704" ht="15.75" customHeight="1">
      <c r="A704" s="1"/>
      <c r="B704" s="18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</row>
    <row r="705" ht="15.75" customHeight="1">
      <c r="A705" s="1"/>
      <c r="B705" s="18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</row>
    <row r="706" ht="15.75" customHeight="1">
      <c r="A706" s="1"/>
      <c r="B706" s="18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</row>
    <row r="707" ht="15.75" customHeight="1">
      <c r="A707" s="1"/>
      <c r="B707" s="18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</row>
    <row r="708" ht="15.75" customHeight="1">
      <c r="A708" s="1"/>
      <c r="B708" s="18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</row>
    <row r="709" ht="15.75" customHeight="1">
      <c r="A709" s="1"/>
      <c r="B709" s="18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</row>
    <row r="710" ht="15.75" customHeight="1">
      <c r="A710" s="1"/>
      <c r="B710" s="18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</row>
    <row r="711" ht="15.75" customHeight="1">
      <c r="A711" s="1"/>
      <c r="B711" s="18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</row>
    <row r="712" ht="15.75" customHeight="1">
      <c r="A712" s="1"/>
      <c r="B712" s="18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</row>
    <row r="713" ht="15.75" customHeight="1">
      <c r="A713" s="1"/>
      <c r="B713" s="18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</row>
    <row r="714" ht="15.75" customHeight="1">
      <c r="A714" s="1"/>
      <c r="B714" s="18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</row>
    <row r="715" ht="15.75" customHeight="1">
      <c r="A715" s="1"/>
      <c r="B715" s="18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</row>
    <row r="716" ht="15.75" customHeight="1">
      <c r="A716" s="1"/>
      <c r="B716" s="18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</row>
    <row r="717" ht="15.75" customHeight="1">
      <c r="A717" s="1"/>
      <c r="B717" s="18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</row>
    <row r="718" ht="15.75" customHeight="1">
      <c r="A718" s="1"/>
      <c r="B718" s="18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</row>
    <row r="719" ht="15.75" customHeight="1">
      <c r="A719" s="1"/>
      <c r="B719" s="18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</row>
    <row r="720" ht="15.75" customHeight="1">
      <c r="A720" s="1"/>
      <c r="B720" s="18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</row>
    <row r="721" ht="15.75" customHeight="1">
      <c r="A721" s="1"/>
      <c r="B721" s="18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</row>
    <row r="722" ht="15.75" customHeight="1">
      <c r="A722" s="1"/>
      <c r="B722" s="18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</row>
    <row r="723" ht="15.75" customHeight="1">
      <c r="A723" s="1"/>
      <c r="B723" s="18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</row>
    <row r="724" ht="15.75" customHeight="1">
      <c r="A724" s="1"/>
      <c r="B724" s="18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</row>
    <row r="725" ht="15.75" customHeight="1">
      <c r="A725" s="1"/>
      <c r="B725" s="18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</row>
    <row r="726" ht="15.75" customHeight="1">
      <c r="A726" s="1"/>
      <c r="B726" s="18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</row>
    <row r="727" ht="15.75" customHeight="1">
      <c r="A727" s="1"/>
      <c r="B727" s="18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</row>
    <row r="728" ht="15.75" customHeight="1">
      <c r="A728" s="1"/>
      <c r="B728" s="18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</row>
    <row r="729" ht="15.75" customHeight="1">
      <c r="A729" s="1"/>
      <c r="B729" s="18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</row>
    <row r="730" ht="15.75" customHeight="1">
      <c r="A730" s="1"/>
      <c r="B730" s="18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</row>
    <row r="731" ht="15.75" customHeight="1">
      <c r="A731" s="1"/>
      <c r="B731" s="18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</row>
    <row r="732" ht="15.75" customHeight="1">
      <c r="A732" s="1"/>
      <c r="B732" s="18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</row>
    <row r="733" ht="15.75" customHeight="1">
      <c r="A733" s="1"/>
      <c r="B733" s="18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</row>
    <row r="734" ht="15.75" customHeight="1">
      <c r="A734" s="1"/>
      <c r="B734" s="18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</row>
    <row r="735" ht="15.75" customHeight="1">
      <c r="A735" s="1"/>
      <c r="B735" s="18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</row>
    <row r="736" ht="15.75" customHeight="1">
      <c r="A736" s="1"/>
      <c r="B736" s="18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</row>
    <row r="737" ht="15.75" customHeight="1">
      <c r="A737" s="1"/>
      <c r="B737" s="18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</row>
    <row r="738" ht="15.75" customHeight="1">
      <c r="A738" s="1"/>
      <c r="B738" s="18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</row>
    <row r="739" ht="15.75" customHeight="1">
      <c r="A739" s="1"/>
      <c r="B739" s="18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</row>
    <row r="740" ht="15.75" customHeight="1">
      <c r="A740" s="1"/>
      <c r="B740" s="18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</row>
    <row r="741" ht="15.75" customHeight="1">
      <c r="A741" s="1"/>
      <c r="B741" s="18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</row>
    <row r="742" ht="15.75" customHeight="1">
      <c r="A742" s="1"/>
      <c r="B742" s="18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</row>
    <row r="743" ht="15.75" customHeight="1">
      <c r="A743" s="1"/>
      <c r="B743" s="18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</row>
    <row r="744" ht="15.75" customHeight="1">
      <c r="A744" s="1"/>
      <c r="B744" s="18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</row>
    <row r="745" ht="15.75" customHeight="1">
      <c r="A745" s="1"/>
      <c r="B745" s="18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</row>
    <row r="746" ht="15.75" customHeight="1">
      <c r="A746" s="1"/>
      <c r="B746" s="18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</row>
    <row r="747" ht="15.75" customHeight="1">
      <c r="A747" s="1"/>
      <c r="B747" s="18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</row>
    <row r="748" ht="15.75" customHeight="1">
      <c r="A748" s="1"/>
      <c r="B748" s="18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</row>
    <row r="749" ht="15.75" customHeight="1">
      <c r="A749" s="1"/>
      <c r="B749" s="18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</row>
    <row r="750" ht="15.75" customHeight="1">
      <c r="A750" s="1"/>
      <c r="B750" s="18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</row>
    <row r="751" ht="15.75" customHeight="1">
      <c r="A751" s="1"/>
      <c r="B751" s="18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</row>
    <row r="752" ht="15.75" customHeight="1">
      <c r="A752" s="1"/>
      <c r="B752" s="18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</row>
    <row r="753" ht="15.75" customHeight="1">
      <c r="A753" s="1"/>
      <c r="B753" s="18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</row>
    <row r="754" ht="15.75" customHeight="1">
      <c r="A754" s="1"/>
      <c r="B754" s="18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</row>
    <row r="755" ht="15.75" customHeight="1">
      <c r="A755" s="1"/>
      <c r="B755" s="18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</row>
    <row r="756" ht="15.75" customHeight="1">
      <c r="A756" s="1"/>
      <c r="B756" s="18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</row>
    <row r="757" ht="15.75" customHeight="1">
      <c r="A757" s="1"/>
      <c r="B757" s="18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</row>
    <row r="758" ht="15.75" customHeight="1">
      <c r="A758" s="1"/>
      <c r="B758" s="18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</row>
    <row r="759" ht="15.75" customHeight="1">
      <c r="A759" s="1"/>
      <c r="B759" s="18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</row>
    <row r="760" ht="15.75" customHeight="1">
      <c r="A760" s="1"/>
      <c r="B760" s="18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</row>
    <row r="761" ht="15.75" customHeight="1">
      <c r="A761" s="1"/>
      <c r="B761" s="18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</row>
    <row r="762" ht="15.75" customHeight="1">
      <c r="A762" s="1"/>
      <c r="B762" s="18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</row>
    <row r="763" ht="15.75" customHeight="1">
      <c r="A763" s="1"/>
      <c r="B763" s="18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</row>
    <row r="764" ht="15.75" customHeight="1">
      <c r="A764" s="1"/>
      <c r="B764" s="18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</row>
    <row r="765" ht="15.75" customHeight="1">
      <c r="A765" s="1"/>
      <c r="B765" s="18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</row>
    <row r="766" ht="15.75" customHeight="1">
      <c r="A766" s="1"/>
      <c r="B766" s="18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</row>
    <row r="767" ht="15.75" customHeight="1">
      <c r="A767" s="1"/>
      <c r="B767" s="18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</row>
    <row r="768" ht="15.75" customHeight="1">
      <c r="A768" s="1"/>
      <c r="B768" s="18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</row>
    <row r="769" ht="15.75" customHeight="1">
      <c r="A769" s="1"/>
      <c r="B769" s="18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</row>
    <row r="770" ht="15.75" customHeight="1">
      <c r="A770" s="1"/>
      <c r="B770" s="18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</row>
    <row r="771" ht="15.75" customHeight="1">
      <c r="A771" s="1"/>
      <c r="B771" s="18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</row>
    <row r="772" ht="15.75" customHeight="1">
      <c r="A772" s="1"/>
      <c r="B772" s="18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</row>
    <row r="773" ht="15.75" customHeight="1">
      <c r="A773" s="1"/>
      <c r="B773" s="18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</row>
    <row r="774" ht="15.75" customHeight="1">
      <c r="A774" s="1"/>
      <c r="B774" s="18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</row>
    <row r="775" ht="15.75" customHeight="1">
      <c r="A775" s="1"/>
      <c r="B775" s="18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</row>
    <row r="776" ht="15.75" customHeight="1">
      <c r="A776" s="1"/>
      <c r="B776" s="18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</row>
    <row r="777" ht="15.75" customHeight="1">
      <c r="A777" s="1"/>
      <c r="B777" s="18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</row>
    <row r="778" ht="15.75" customHeight="1">
      <c r="A778" s="1"/>
      <c r="B778" s="18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</row>
    <row r="779" ht="15.75" customHeight="1">
      <c r="A779" s="1"/>
      <c r="B779" s="18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</row>
    <row r="780" ht="15.75" customHeight="1">
      <c r="A780" s="1"/>
      <c r="B780" s="18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</row>
    <row r="781" ht="15.75" customHeight="1">
      <c r="A781" s="1"/>
      <c r="B781" s="18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</row>
    <row r="782" ht="15.75" customHeight="1">
      <c r="A782" s="1"/>
      <c r="B782" s="18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</row>
    <row r="783" ht="15.75" customHeight="1">
      <c r="A783" s="1"/>
      <c r="B783" s="18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</row>
    <row r="784" ht="15.75" customHeight="1">
      <c r="A784" s="1"/>
      <c r="B784" s="18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</row>
    <row r="785" ht="15.75" customHeight="1">
      <c r="A785" s="1"/>
      <c r="B785" s="18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</row>
    <row r="786" ht="15.75" customHeight="1">
      <c r="A786" s="1"/>
      <c r="B786" s="18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</row>
    <row r="787" ht="15.75" customHeight="1">
      <c r="A787" s="1"/>
      <c r="B787" s="18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</row>
    <row r="788" ht="15.75" customHeight="1">
      <c r="A788" s="1"/>
      <c r="B788" s="18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</row>
    <row r="789" ht="15.75" customHeight="1">
      <c r="A789" s="1"/>
      <c r="B789" s="18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</row>
    <row r="790" ht="15.75" customHeight="1">
      <c r="A790" s="1"/>
      <c r="B790" s="18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</row>
    <row r="791" ht="15.75" customHeight="1">
      <c r="A791" s="1"/>
      <c r="B791" s="18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</row>
    <row r="792" ht="15.75" customHeight="1">
      <c r="A792" s="1"/>
      <c r="B792" s="18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</row>
    <row r="793" ht="15.75" customHeight="1">
      <c r="A793" s="1"/>
      <c r="B793" s="18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</row>
    <row r="794" ht="15.75" customHeight="1">
      <c r="A794" s="1"/>
      <c r="B794" s="18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</row>
    <row r="795" ht="15.75" customHeight="1">
      <c r="A795" s="1"/>
      <c r="B795" s="18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</row>
    <row r="796" ht="15.75" customHeight="1">
      <c r="A796" s="1"/>
      <c r="B796" s="18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</row>
    <row r="797" ht="15.75" customHeight="1">
      <c r="A797" s="1"/>
      <c r="B797" s="18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</row>
    <row r="798" ht="15.75" customHeight="1">
      <c r="A798" s="1"/>
      <c r="B798" s="18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</row>
    <row r="799" ht="15.75" customHeight="1">
      <c r="A799" s="1"/>
      <c r="B799" s="18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</row>
    <row r="800" ht="15.75" customHeight="1">
      <c r="A800" s="1"/>
      <c r="B800" s="18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</row>
    <row r="801" ht="15.75" customHeight="1">
      <c r="A801" s="1"/>
      <c r="B801" s="18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</row>
    <row r="802" ht="15.75" customHeight="1">
      <c r="A802" s="1"/>
      <c r="B802" s="18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</row>
    <row r="803" ht="15.75" customHeight="1">
      <c r="A803" s="1"/>
      <c r="B803" s="18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</row>
    <row r="804" ht="15.75" customHeight="1">
      <c r="A804" s="1"/>
      <c r="B804" s="18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</row>
    <row r="805" ht="15.75" customHeight="1">
      <c r="A805" s="1"/>
      <c r="B805" s="18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</row>
    <row r="806" ht="15.75" customHeight="1">
      <c r="A806" s="1"/>
      <c r="B806" s="18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</row>
    <row r="807" ht="15.75" customHeight="1">
      <c r="A807" s="1"/>
      <c r="B807" s="18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</row>
    <row r="808" ht="15.75" customHeight="1">
      <c r="A808" s="1"/>
      <c r="B808" s="18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</row>
    <row r="809" ht="15.75" customHeight="1">
      <c r="A809" s="1"/>
      <c r="B809" s="18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</row>
    <row r="810" ht="15.75" customHeight="1">
      <c r="A810" s="1"/>
      <c r="B810" s="18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</row>
    <row r="811" ht="15.75" customHeight="1">
      <c r="A811" s="1"/>
      <c r="B811" s="18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</row>
    <row r="812" ht="15.75" customHeight="1">
      <c r="A812" s="1"/>
      <c r="B812" s="18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</row>
    <row r="813" ht="15.75" customHeight="1">
      <c r="A813" s="1"/>
      <c r="B813" s="18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</row>
    <row r="814" ht="15.75" customHeight="1">
      <c r="A814" s="1"/>
      <c r="B814" s="18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</row>
    <row r="815" ht="15.75" customHeight="1">
      <c r="A815" s="1"/>
      <c r="B815" s="18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</row>
    <row r="816" ht="15.75" customHeight="1">
      <c r="A816" s="1"/>
      <c r="B816" s="18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</row>
    <row r="817" ht="15.75" customHeight="1">
      <c r="A817" s="1"/>
      <c r="B817" s="18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</row>
    <row r="818" ht="15.75" customHeight="1">
      <c r="A818" s="1"/>
      <c r="B818" s="18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</row>
    <row r="819" ht="15.75" customHeight="1">
      <c r="A819" s="1"/>
      <c r="B819" s="18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</row>
    <row r="820" ht="15.75" customHeight="1">
      <c r="A820" s="1"/>
      <c r="B820" s="18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</row>
    <row r="821" ht="15.75" customHeight="1">
      <c r="A821" s="1"/>
      <c r="B821" s="18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</row>
    <row r="822" ht="15.75" customHeight="1">
      <c r="A822" s="1"/>
      <c r="B822" s="18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</row>
    <row r="823" ht="15.75" customHeight="1">
      <c r="A823" s="1"/>
      <c r="B823" s="18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</row>
    <row r="824" ht="15.75" customHeight="1">
      <c r="A824" s="1"/>
      <c r="B824" s="18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</row>
    <row r="825" ht="15.75" customHeight="1">
      <c r="A825" s="1"/>
      <c r="B825" s="18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</row>
    <row r="826" ht="15.75" customHeight="1">
      <c r="A826" s="1"/>
      <c r="B826" s="18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</row>
    <row r="827" ht="15.75" customHeight="1">
      <c r="A827" s="1"/>
      <c r="B827" s="18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</row>
    <row r="828" ht="15.75" customHeight="1">
      <c r="A828" s="1"/>
      <c r="B828" s="18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</row>
    <row r="829" ht="15.75" customHeight="1">
      <c r="A829" s="1"/>
      <c r="B829" s="18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</row>
    <row r="830" ht="15.75" customHeight="1">
      <c r="A830" s="1"/>
      <c r="B830" s="18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</row>
    <row r="831" ht="15.75" customHeight="1">
      <c r="A831" s="1"/>
      <c r="B831" s="18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</row>
    <row r="832" ht="15.75" customHeight="1">
      <c r="A832" s="1"/>
      <c r="B832" s="18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</row>
    <row r="833" ht="15.75" customHeight="1">
      <c r="A833" s="1"/>
      <c r="B833" s="18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</row>
    <row r="834" ht="15.75" customHeight="1">
      <c r="A834" s="1"/>
      <c r="B834" s="18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</row>
    <row r="835" ht="15.75" customHeight="1">
      <c r="A835" s="1"/>
      <c r="B835" s="18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</row>
    <row r="836" ht="15.75" customHeight="1">
      <c r="A836" s="1"/>
      <c r="B836" s="18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</row>
    <row r="837" ht="15.75" customHeight="1">
      <c r="A837" s="1"/>
      <c r="B837" s="18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</row>
    <row r="838" ht="15.75" customHeight="1">
      <c r="A838" s="1"/>
      <c r="B838" s="18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</row>
    <row r="839" ht="15.75" customHeight="1">
      <c r="A839" s="1"/>
      <c r="B839" s="18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</row>
    <row r="840" ht="15.75" customHeight="1">
      <c r="A840" s="1"/>
      <c r="B840" s="18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</row>
    <row r="841" ht="15.75" customHeight="1">
      <c r="A841" s="1"/>
      <c r="B841" s="18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</row>
    <row r="842" ht="15.75" customHeight="1">
      <c r="A842" s="1"/>
      <c r="B842" s="18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</row>
    <row r="843" ht="15.75" customHeight="1">
      <c r="A843" s="1"/>
      <c r="B843" s="18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</row>
    <row r="844" ht="15.75" customHeight="1">
      <c r="A844" s="1"/>
      <c r="B844" s="18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</row>
    <row r="845" ht="15.75" customHeight="1">
      <c r="A845" s="1"/>
      <c r="B845" s="18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</row>
    <row r="846" ht="15.75" customHeight="1">
      <c r="A846" s="1"/>
      <c r="B846" s="18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</row>
    <row r="847" ht="15.75" customHeight="1">
      <c r="A847" s="1"/>
      <c r="B847" s="18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</row>
    <row r="848" ht="15.75" customHeight="1">
      <c r="A848" s="1"/>
      <c r="B848" s="18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</row>
    <row r="849" ht="15.75" customHeight="1">
      <c r="A849" s="1"/>
      <c r="B849" s="18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</row>
    <row r="850" ht="15.75" customHeight="1">
      <c r="A850" s="1"/>
      <c r="B850" s="18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</row>
    <row r="851" ht="15.75" customHeight="1">
      <c r="A851" s="1"/>
      <c r="B851" s="18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</row>
    <row r="852" ht="15.75" customHeight="1">
      <c r="A852" s="1"/>
      <c r="B852" s="18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</row>
    <row r="853" ht="15.75" customHeight="1">
      <c r="A853" s="1"/>
      <c r="B853" s="18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</row>
    <row r="854" ht="15.75" customHeight="1">
      <c r="A854" s="1"/>
      <c r="B854" s="18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</row>
    <row r="855" ht="15.75" customHeight="1">
      <c r="A855" s="1"/>
      <c r="B855" s="18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</row>
    <row r="856" ht="15.75" customHeight="1">
      <c r="A856" s="1"/>
      <c r="B856" s="18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</row>
    <row r="857" ht="15.75" customHeight="1">
      <c r="A857" s="1"/>
      <c r="B857" s="18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</row>
    <row r="858" ht="15.75" customHeight="1">
      <c r="A858" s="1"/>
      <c r="B858" s="18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</row>
    <row r="859" ht="15.75" customHeight="1">
      <c r="A859" s="1"/>
      <c r="B859" s="18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</row>
    <row r="860" ht="15.75" customHeight="1">
      <c r="A860" s="1"/>
      <c r="B860" s="18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</row>
    <row r="861" ht="15.75" customHeight="1">
      <c r="A861" s="1"/>
      <c r="B861" s="18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</row>
    <row r="862" ht="15.75" customHeight="1">
      <c r="A862" s="1"/>
      <c r="B862" s="18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</row>
    <row r="863" ht="15.75" customHeight="1">
      <c r="A863" s="1"/>
      <c r="B863" s="18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</row>
    <row r="864" ht="15.75" customHeight="1">
      <c r="A864" s="1"/>
      <c r="B864" s="18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</row>
    <row r="865" ht="15.75" customHeight="1">
      <c r="A865" s="1"/>
      <c r="B865" s="18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</row>
    <row r="866" ht="15.75" customHeight="1">
      <c r="A866" s="1"/>
      <c r="B866" s="18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</row>
    <row r="867" ht="15.75" customHeight="1">
      <c r="A867" s="1"/>
      <c r="B867" s="18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</row>
    <row r="868" ht="15.75" customHeight="1">
      <c r="A868" s="1"/>
      <c r="B868" s="18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</row>
    <row r="869" ht="15.75" customHeight="1">
      <c r="A869" s="1"/>
      <c r="B869" s="18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</row>
    <row r="870" ht="15.75" customHeight="1">
      <c r="A870" s="1"/>
      <c r="B870" s="18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</row>
    <row r="871" ht="15.75" customHeight="1">
      <c r="A871" s="1"/>
      <c r="B871" s="18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</row>
    <row r="872" ht="15.75" customHeight="1">
      <c r="A872" s="1"/>
      <c r="B872" s="18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</row>
    <row r="873" ht="15.75" customHeight="1">
      <c r="A873" s="1"/>
      <c r="B873" s="18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</row>
    <row r="874" ht="15.75" customHeight="1">
      <c r="A874" s="1"/>
      <c r="B874" s="18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</row>
    <row r="875" ht="15.75" customHeight="1">
      <c r="A875" s="1"/>
      <c r="B875" s="18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</row>
    <row r="876" ht="15.75" customHeight="1">
      <c r="A876" s="1"/>
      <c r="B876" s="18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</row>
    <row r="877" ht="15.75" customHeight="1">
      <c r="A877" s="1"/>
      <c r="B877" s="18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</row>
    <row r="878" ht="15.75" customHeight="1">
      <c r="A878" s="1"/>
      <c r="B878" s="18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</row>
    <row r="879" ht="15.75" customHeight="1">
      <c r="A879" s="1"/>
      <c r="B879" s="18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</row>
    <row r="880" ht="15.75" customHeight="1">
      <c r="A880" s="1"/>
      <c r="B880" s="18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</row>
    <row r="881" ht="15.75" customHeight="1">
      <c r="A881" s="1"/>
      <c r="B881" s="18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</row>
    <row r="882" ht="15.75" customHeight="1">
      <c r="A882" s="1"/>
      <c r="B882" s="18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</row>
    <row r="883" ht="15.75" customHeight="1">
      <c r="A883" s="1"/>
      <c r="B883" s="18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</row>
    <row r="884" ht="15.75" customHeight="1">
      <c r="A884" s="1"/>
      <c r="B884" s="18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</row>
    <row r="885" ht="15.75" customHeight="1">
      <c r="A885" s="1"/>
      <c r="B885" s="18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</row>
    <row r="886" ht="15.75" customHeight="1">
      <c r="A886" s="1"/>
      <c r="B886" s="18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</row>
    <row r="887" ht="15.75" customHeight="1">
      <c r="A887" s="1"/>
      <c r="B887" s="18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</row>
    <row r="888" ht="15.75" customHeight="1">
      <c r="A888" s="1"/>
      <c r="B888" s="18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</row>
    <row r="889" ht="15.75" customHeight="1">
      <c r="A889" s="1"/>
      <c r="B889" s="18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</row>
    <row r="890" ht="15.75" customHeight="1">
      <c r="A890" s="1"/>
      <c r="B890" s="18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</row>
    <row r="891" ht="15.75" customHeight="1">
      <c r="A891" s="1"/>
      <c r="B891" s="18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</row>
    <row r="892" ht="15.75" customHeight="1">
      <c r="A892" s="1"/>
      <c r="B892" s="18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</row>
    <row r="893" ht="15.75" customHeight="1">
      <c r="A893" s="1"/>
      <c r="B893" s="18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</row>
    <row r="894" ht="15.75" customHeight="1">
      <c r="A894" s="1"/>
      <c r="B894" s="18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</row>
    <row r="895" ht="15.75" customHeight="1">
      <c r="A895" s="1"/>
      <c r="B895" s="18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</row>
    <row r="896" ht="15.75" customHeight="1">
      <c r="A896" s="1"/>
      <c r="B896" s="18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</row>
    <row r="897" ht="15.75" customHeight="1">
      <c r="A897" s="1"/>
      <c r="B897" s="18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</row>
    <row r="898" ht="15.75" customHeight="1">
      <c r="A898" s="1"/>
      <c r="B898" s="18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</row>
    <row r="899" ht="15.75" customHeight="1">
      <c r="A899" s="1"/>
      <c r="B899" s="18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</row>
    <row r="900" ht="15.75" customHeight="1">
      <c r="A900" s="1"/>
      <c r="B900" s="18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</row>
    <row r="901" ht="15.75" customHeight="1">
      <c r="A901" s="1"/>
      <c r="B901" s="18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</row>
    <row r="902" ht="15.75" customHeight="1">
      <c r="A902" s="1"/>
      <c r="B902" s="18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</row>
    <row r="903" ht="15.75" customHeight="1">
      <c r="A903" s="1"/>
      <c r="B903" s="18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</row>
    <row r="904" ht="15.75" customHeight="1">
      <c r="A904" s="1"/>
      <c r="B904" s="18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</row>
    <row r="905" ht="15.75" customHeight="1">
      <c r="A905" s="1"/>
      <c r="B905" s="18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</row>
    <row r="906" ht="15.75" customHeight="1">
      <c r="A906" s="1"/>
      <c r="B906" s="18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</row>
    <row r="907" ht="15.75" customHeight="1">
      <c r="A907" s="1"/>
      <c r="B907" s="18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</row>
    <row r="908" ht="15.75" customHeight="1">
      <c r="A908" s="1"/>
      <c r="B908" s="18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</row>
    <row r="909" ht="15.75" customHeight="1">
      <c r="A909" s="1"/>
      <c r="B909" s="18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</row>
    <row r="910" ht="15.75" customHeight="1">
      <c r="A910" s="1"/>
      <c r="B910" s="18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</row>
    <row r="911" ht="15.75" customHeight="1">
      <c r="A911" s="1"/>
      <c r="B911" s="18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</row>
    <row r="912" ht="15.75" customHeight="1">
      <c r="A912" s="1"/>
      <c r="B912" s="18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</row>
    <row r="913" ht="15.75" customHeight="1">
      <c r="A913" s="1"/>
      <c r="B913" s="18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</row>
    <row r="914" ht="15.75" customHeight="1">
      <c r="A914" s="1"/>
      <c r="B914" s="18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</row>
    <row r="915" ht="15.75" customHeight="1">
      <c r="A915" s="1"/>
      <c r="B915" s="18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</row>
    <row r="916" ht="15.75" customHeight="1">
      <c r="A916" s="1"/>
      <c r="B916" s="18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</row>
    <row r="917" ht="15.75" customHeight="1">
      <c r="A917" s="1"/>
      <c r="B917" s="18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</row>
    <row r="918" ht="15.75" customHeight="1">
      <c r="A918" s="1"/>
      <c r="B918" s="18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</row>
    <row r="919" ht="15.75" customHeight="1">
      <c r="A919" s="1"/>
      <c r="B919" s="18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</row>
    <row r="920" ht="15.75" customHeight="1">
      <c r="A920" s="1"/>
      <c r="B920" s="18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</row>
    <row r="921" ht="15.75" customHeight="1">
      <c r="A921" s="1"/>
      <c r="B921" s="18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</row>
    <row r="922" ht="15.75" customHeight="1">
      <c r="A922" s="1"/>
      <c r="B922" s="18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</row>
    <row r="923" ht="15.75" customHeight="1">
      <c r="A923" s="1"/>
      <c r="B923" s="18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</row>
    <row r="924" ht="15.75" customHeight="1">
      <c r="A924" s="1"/>
      <c r="B924" s="18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</row>
    <row r="925" ht="15.75" customHeight="1">
      <c r="A925" s="1"/>
      <c r="B925" s="18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</row>
    <row r="926" ht="15.75" customHeight="1">
      <c r="A926" s="1"/>
      <c r="B926" s="18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</row>
    <row r="927" ht="15.75" customHeight="1">
      <c r="A927" s="1"/>
      <c r="B927" s="18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</row>
    <row r="928" ht="15.75" customHeight="1">
      <c r="A928" s="1"/>
      <c r="B928" s="18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</row>
    <row r="929" ht="15.75" customHeight="1">
      <c r="A929" s="1"/>
      <c r="B929" s="18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</row>
    <row r="930" ht="15.75" customHeight="1">
      <c r="A930" s="1"/>
      <c r="B930" s="18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</row>
    <row r="931" ht="15.75" customHeight="1">
      <c r="A931" s="1"/>
      <c r="B931" s="18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</row>
    <row r="932" ht="15.75" customHeight="1">
      <c r="A932" s="1"/>
      <c r="B932" s="18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</row>
    <row r="933" ht="15.75" customHeight="1">
      <c r="A933" s="1"/>
      <c r="B933" s="18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</row>
    <row r="934" ht="15.75" customHeight="1">
      <c r="A934" s="1"/>
      <c r="B934" s="18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</row>
    <row r="935" ht="15.75" customHeight="1">
      <c r="A935" s="1"/>
      <c r="B935" s="18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</row>
    <row r="936" ht="15.75" customHeight="1">
      <c r="A936" s="1"/>
      <c r="B936" s="18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</row>
    <row r="937" ht="15.75" customHeight="1">
      <c r="A937" s="1"/>
      <c r="B937" s="18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</row>
    <row r="938" ht="15.75" customHeight="1">
      <c r="A938" s="1"/>
      <c r="B938" s="18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</row>
    <row r="939" ht="15.75" customHeight="1">
      <c r="A939" s="1"/>
      <c r="B939" s="18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</row>
    <row r="940" ht="15.75" customHeight="1">
      <c r="A940" s="1"/>
      <c r="B940" s="18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</row>
    <row r="941" ht="15.75" customHeight="1">
      <c r="A941" s="1"/>
      <c r="B941" s="18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</row>
    <row r="942" ht="15.75" customHeight="1">
      <c r="A942" s="1"/>
      <c r="B942" s="18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</row>
    <row r="943" ht="15.75" customHeight="1">
      <c r="A943" s="1"/>
      <c r="B943" s="18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</row>
    <row r="944" ht="15.75" customHeight="1">
      <c r="A944" s="1"/>
      <c r="B944" s="18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</row>
    <row r="945" ht="15.75" customHeight="1">
      <c r="A945" s="1"/>
      <c r="B945" s="18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</row>
    <row r="946" ht="15.75" customHeight="1">
      <c r="A946" s="1"/>
      <c r="B946" s="18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</row>
    <row r="947" ht="15.75" customHeight="1">
      <c r="A947" s="1"/>
      <c r="B947" s="18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</row>
    <row r="948" ht="15.75" customHeight="1">
      <c r="A948" s="1"/>
      <c r="B948" s="18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</row>
    <row r="949" ht="15.75" customHeight="1">
      <c r="A949" s="1"/>
      <c r="B949" s="18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</row>
    <row r="950" ht="15.75" customHeight="1">
      <c r="A950" s="1"/>
      <c r="B950" s="18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</row>
    <row r="951" ht="15.75" customHeight="1">
      <c r="A951" s="1"/>
      <c r="B951" s="18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</row>
    <row r="952" ht="15.75" customHeight="1">
      <c r="A952" s="1"/>
      <c r="B952" s="18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</row>
    <row r="953" ht="15.75" customHeight="1">
      <c r="A953" s="1"/>
      <c r="B953" s="18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</row>
    <row r="954" ht="15.75" customHeight="1">
      <c r="A954" s="1"/>
      <c r="B954" s="18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</row>
    <row r="955" ht="15.75" customHeight="1">
      <c r="A955" s="1"/>
      <c r="B955" s="18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</row>
    <row r="956" ht="15.75" customHeight="1">
      <c r="A956" s="1"/>
      <c r="B956" s="18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</row>
    <row r="957" ht="15.75" customHeight="1">
      <c r="A957" s="1"/>
      <c r="B957" s="18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</row>
    <row r="958" ht="15.75" customHeight="1">
      <c r="A958" s="1"/>
      <c r="B958" s="18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</row>
    <row r="959" ht="15.75" customHeight="1">
      <c r="A959" s="1"/>
      <c r="B959" s="18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</row>
    <row r="960" ht="15.75" customHeight="1">
      <c r="A960" s="1"/>
      <c r="B960" s="18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</row>
    <row r="961" ht="15.75" customHeight="1">
      <c r="A961" s="1"/>
      <c r="B961" s="18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</row>
    <row r="962" ht="15.75" customHeight="1">
      <c r="A962" s="1"/>
      <c r="B962" s="18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</row>
    <row r="963" ht="15.75" customHeight="1">
      <c r="A963" s="1"/>
      <c r="B963" s="18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</row>
    <row r="964" ht="15.75" customHeight="1">
      <c r="A964" s="1"/>
      <c r="B964" s="18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</row>
    <row r="965" ht="15.75" customHeight="1">
      <c r="A965" s="1"/>
      <c r="B965" s="18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</row>
    <row r="966" ht="15.75" customHeight="1">
      <c r="A966" s="1"/>
      <c r="B966" s="18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</row>
    <row r="967" ht="15.75" customHeight="1">
      <c r="A967" s="1"/>
      <c r="B967" s="18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</row>
    <row r="968" ht="15.75" customHeight="1">
      <c r="A968" s="1"/>
      <c r="B968" s="18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</row>
    <row r="969" ht="15.75" customHeight="1">
      <c r="A969" s="1"/>
      <c r="B969" s="18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</row>
    <row r="970" ht="15.75" customHeight="1">
      <c r="A970" s="1"/>
      <c r="B970" s="18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</row>
    <row r="971" ht="15.75" customHeight="1">
      <c r="A971" s="1"/>
      <c r="B971" s="18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</row>
    <row r="972" ht="15.75" customHeight="1">
      <c r="A972" s="1"/>
      <c r="B972" s="18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</row>
    <row r="973" ht="15.75" customHeight="1">
      <c r="A973" s="1"/>
      <c r="B973" s="18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</row>
    <row r="974" ht="15.75" customHeight="1">
      <c r="A974" s="1"/>
      <c r="B974" s="18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</row>
    <row r="975" ht="15.75" customHeight="1">
      <c r="A975" s="1"/>
      <c r="B975" s="18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</row>
    <row r="976" ht="15.75" customHeight="1">
      <c r="A976" s="1"/>
      <c r="B976" s="18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</row>
    <row r="977" ht="15.75" customHeight="1">
      <c r="A977" s="1"/>
      <c r="B977" s="18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</row>
    <row r="978" ht="15.75" customHeight="1">
      <c r="A978" s="1"/>
      <c r="B978" s="18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</row>
    <row r="979" ht="15.75" customHeight="1">
      <c r="A979" s="1"/>
      <c r="B979" s="18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</row>
    <row r="980" ht="15.75" customHeight="1">
      <c r="A980" s="1"/>
      <c r="B980" s="18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</row>
    <row r="981" ht="15.75" customHeight="1">
      <c r="A981" s="1"/>
      <c r="B981" s="18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</row>
    <row r="982" ht="15.75" customHeight="1">
      <c r="A982" s="1"/>
      <c r="B982" s="18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</row>
    <row r="983" ht="15.75" customHeight="1">
      <c r="A983" s="1"/>
      <c r="B983" s="18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</row>
    <row r="984" ht="15.75" customHeight="1">
      <c r="A984" s="1"/>
      <c r="B984" s="18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</row>
    <row r="985" ht="15.75" customHeight="1">
      <c r="A985" s="1"/>
      <c r="B985" s="18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</row>
    <row r="986" ht="15.75" customHeight="1">
      <c r="A986" s="1"/>
      <c r="B986" s="18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</row>
    <row r="987" ht="15.75" customHeight="1">
      <c r="A987" s="1"/>
      <c r="B987" s="18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</row>
    <row r="988" ht="15.75" customHeight="1">
      <c r="A988" s="1"/>
      <c r="B988" s="18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</row>
    <row r="989" ht="15.75" customHeight="1">
      <c r="A989" s="1"/>
      <c r="B989" s="18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</row>
    <row r="990" ht="15.75" customHeight="1">
      <c r="A990" s="1"/>
      <c r="B990" s="18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</row>
    <row r="991" ht="15.75" customHeight="1">
      <c r="A991" s="1"/>
      <c r="B991" s="18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</row>
    <row r="992" ht="15.75" customHeight="1">
      <c r="A992" s="1"/>
      <c r="B992" s="18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</row>
    <row r="993" ht="15.75" customHeight="1">
      <c r="A993" s="1"/>
      <c r="B993" s="18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</row>
    <row r="994" ht="15.75" customHeight="1">
      <c r="A994" s="1"/>
      <c r="B994" s="18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</row>
    <row r="995" ht="15.75" customHeight="1">
      <c r="A995" s="1"/>
      <c r="B995" s="18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</row>
    <row r="996" ht="15.75" customHeight="1">
      <c r="A996" s="1"/>
      <c r="B996" s="18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</row>
    <row r="997" ht="15.75" customHeight="1">
      <c r="A997" s="1"/>
      <c r="B997" s="18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</row>
    <row r="998" ht="15.75" customHeight="1">
      <c r="A998" s="1"/>
      <c r="B998" s="18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</row>
    <row r="999" ht="15.75" customHeight="1">
      <c r="A999" s="1"/>
      <c r="B999" s="18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</row>
    <row r="1000" ht="15.75" customHeight="1">
      <c r="A1000" s="1"/>
      <c r="B1000" s="18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</row>
  </sheetData>
  <mergeCells count="16">
    <mergeCell ref="B8:B10"/>
    <mergeCell ref="C8:D9"/>
    <mergeCell ref="E8:F8"/>
    <mergeCell ref="G8:H8"/>
    <mergeCell ref="J8:K8"/>
    <mergeCell ref="M8:M9"/>
    <mergeCell ref="J9:K9"/>
    <mergeCell ref="B28:C28"/>
    <mergeCell ref="B29:C29"/>
    <mergeCell ref="A14:A15"/>
    <mergeCell ref="B22:C22"/>
    <mergeCell ref="B23:C23"/>
    <mergeCell ref="B24:C24"/>
    <mergeCell ref="B25:C25"/>
    <mergeCell ref="B26:C26"/>
    <mergeCell ref="B27:C2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7" width="9.44"/>
    <col customWidth="1" min="8" max="8" width="18.78"/>
    <col customWidth="1" min="9" max="12" width="9.44"/>
    <col customWidth="1" min="13" max="14" width="9.0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2"/>
      <c r="B2" s="3"/>
      <c r="C2" s="1"/>
      <c r="D2" s="1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2"/>
      <c r="B3" s="3"/>
      <c r="C3" s="5"/>
      <c r="D3" s="1"/>
      <c r="E3" s="1"/>
      <c r="F3" s="6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2"/>
      <c r="B4" s="3"/>
      <c r="C4" s="1"/>
      <c r="D4" s="1"/>
      <c r="E4" s="4"/>
      <c r="F4" s="6"/>
      <c r="G4" s="6"/>
      <c r="H4" s="6"/>
      <c r="I4" s="6"/>
      <c r="J4" s="6"/>
      <c r="K4" s="7"/>
      <c r="L4" s="8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9"/>
      <c r="B5" s="10"/>
      <c r="C5" s="9"/>
      <c r="D5" s="9"/>
      <c r="E5" s="9"/>
      <c r="F5" s="9"/>
      <c r="G5" s="9"/>
      <c r="H5" s="9"/>
      <c r="I5" s="11"/>
      <c r="J5" s="11"/>
      <c r="K5" s="12"/>
      <c r="L5" s="1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1.5" customHeight="1">
      <c r="A6" s="33"/>
      <c r="B6" s="88" t="s">
        <v>982</v>
      </c>
      <c r="C6" s="88"/>
      <c r="D6" s="88"/>
      <c r="E6" s="88"/>
      <c r="F6" s="88"/>
      <c r="G6" s="88"/>
      <c r="H6" s="88"/>
      <c r="I6" s="88"/>
      <c r="J6" s="180"/>
      <c r="K6" s="89"/>
      <c r="L6" s="14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.75" customHeight="1">
      <c r="A7" s="1"/>
      <c r="B7" s="181"/>
      <c r="C7" s="92"/>
      <c r="D7" s="92"/>
      <c r="E7" s="92"/>
      <c r="F7" s="92"/>
      <c r="G7" s="92"/>
      <c r="H7" s="92"/>
      <c r="I7" s="9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7"/>
      <c r="B8" s="22" t="s">
        <v>3</v>
      </c>
      <c r="C8" s="23" t="s">
        <v>4</v>
      </c>
      <c r="D8" s="24"/>
      <c r="E8" s="25" t="s">
        <v>960</v>
      </c>
      <c r="F8" s="26"/>
      <c r="G8" s="27" t="s">
        <v>6</v>
      </c>
      <c r="H8" s="188" t="s">
        <v>7</v>
      </c>
      <c r="I8" s="27" t="s">
        <v>961</v>
      </c>
      <c r="J8" s="182" t="s">
        <v>9</v>
      </c>
      <c r="K8" s="31" t="s">
        <v>10</v>
      </c>
      <c r="L8" s="32" t="s">
        <v>11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8.0" customHeight="1">
      <c r="A9" s="33" t="s">
        <v>983</v>
      </c>
      <c r="B9" s="34"/>
      <c r="C9" s="35"/>
      <c r="D9" s="36"/>
      <c r="E9" s="37" t="s">
        <v>13</v>
      </c>
      <c r="F9" s="38" t="s">
        <v>14</v>
      </c>
      <c r="G9" s="39"/>
      <c r="H9" s="189"/>
      <c r="I9" s="39" t="s">
        <v>963</v>
      </c>
      <c r="J9" s="43"/>
      <c r="K9" s="44"/>
      <c r="L9" s="44"/>
      <c r="M9" s="77"/>
      <c r="N9" s="190" t="s">
        <v>984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8.0" customHeight="1">
      <c r="A10" s="77"/>
      <c r="B10" s="45"/>
      <c r="C10" s="46" t="s">
        <v>15</v>
      </c>
      <c r="D10" s="47" t="s">
        <v>16</v>
      </c>
      <c r="E10" s="46" t="s">
        <v>17</v>
      </c>
      <c r="F10" s="47" t="s">
        <v>18</v>
      </c>
      <c r="G10" s="48" t="s">
        <v>19</v>
      </c>
      <c r="H10" s="191" t="s">
        <v>984</v>
      </c>
      <c r="I10" s="48"/>
      <c r="J10" s="52" t="s">
        <v>22</v>
      </c>
      <c r="K10" s="53" t="s">
        <v>23</v>
      </c>
      <c r="L10" s="54" t="s">
        <v>24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8.0" customHeight="1">
      <c r="A11" s="33"/>
      <c r="B11" s="112" t="s">
        <v>985</v>
      </c>
      <c r="C11" s="103">
        <v>1.5</v>
      </c>
      <c r="D11" s="104">
        <v>2.0</v>
      </c>
      <c r="E11" s="103">
        <v>8.0</v>
      </c>
      <c r="F11" s="104">
        <v>15.0</v>
      </c>
      <c r="G11" s="132" t="s">
        <v>620</v>
      </c>
      <c r="H11" s="192">
        <v>937.784175</v>
      </c>
      <c r="I11" s="57" t="s">
        <v>35</v>
      </c>
      <c r="J11" s="103">
        <v>2900.0</v>
      </c>
      <c r="K11" s="109">
        <v>50.0</v>
      </c>
      <c r="L11" s="109">
        <f t="shared" ref="L11:L12" si="1">0.44*0.28*0.47</f>
        <v>0.057904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8.0" customHeight="1">
      <c r="A12" s="33"/>
      <c r="B12" s="112" t="s">
        <v>986</v>
      </c>
      <c r="C12" s="103">
        <v>2.2</v>
      </c>
      <c r="D12" s="104">
        <v>3.0</v>
      </c>
      <c r="E12" s="103">
        <v>5.0</v>
      </c>
      <c r="F12" s="104">
        <v>20.0</v>
      </c>
      <c r="G12" s="132" t="s">
        <v>679</v>
      </c>
      <c r="H12" s="192">
        <v>979.6150799999998</v>
      </c>
      <c r="I12" s="57" t="s">
        <v>35</v>
      </c>
      <c r="J12" s="103">
        <v>2900.0</v>
      </c>
      <c r="K12" s="109">
        <v>50.0</v>
      </c>
      <c r="L12" s="109">
        <f t="shared" si="1"/>
        <v>0.057904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8.0" customHeight="1">
      <c r="A13" s="33"/>
      <c r="B13" s="112" t="s">
        <v>987</v>
      </c>
      <c r="C13" s="103" t="s">
        <v>988</v>
      </c>
      <c r="D13" s="104">
        <v>4.0</v>
      </c>
      <c r="E13" s="103">
        <v>9.0</v>
      </c>
      <c r="F13" s="104">
        <v>30.0</v>
      </c>
      <c r="G13" s="132" t="s">
        <v>679</v>
      </c>
      <c r="H13" s="192">
        <v>1173.8383499999998</v>
      </c>
      <c r="I13" s="57" t="s">
        <v>35</v>
      </c>
      <c r="J13" s="103">
        <v>2900.0</v>
      </c>
      <c r="K13" s="109">
        <v>50.0</v>
      </c>
      <c r="L13" s="109">
        <f>0.48*0.31*0.53</f>
        <v>0.078864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8.0" customHeight="1">
      <c r="A14" s="33"/>
      <c r="B14" s="112" t="s">
        <v>989</v>
      </c>
      <c r="C14" s="103">
        <v>2.2</v>
      </c>
      <c r="D14" s="104">
        <v>3.0</v>
      </c>
      <c r="E14" s="103">
        <v>10.0</v>
      </c>
      <c r="F14" s="104">
        <v>20.0</v>
      </c>
      <c r="G14" s="132" t="s">
        <v>693</v>
      </c>
      <c r="H14" s="192">
        <v>979.6150799999998</v>
      </c>
      <c r="I14" s="57" t="s">
        <v>35</v>
      </c>
      <c r="J14" s="103">
        <v>2900.0</v>
      </c>
      <c r="K14" s="109">
        <v>50.0</v>
      </c>
      <c r="L14" s="109">
        <f>0.44*0.28*0.47</f>
        <v>0.057904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33"/>
      <c r="B15" s="112" t="s">
        <v>990</v>
      </c>
      <c r="C15" s="103" t="s">
        <v>988</v>
      </c>
      <c r="D15" s="104">
        <v>4.0</v>
      </c>
      <c r="E15" s="103">
        <v>15.0</v>
      </c>
      <c r="F15" s="104">
        <v>30.0</v>
      </c>
      <c r="G15" s="132" t="s">
        <v>693</v>
      </c>
      <c r="H15" s="192">
        <v>1173.8383499999998</v>
      </c>
      <c r="I15" s="57" t="s">
        <v>35</v>
      </c>
      <c r="J15" s="103">
        <v>2900.0</v>
      </c>
      <c r="K15" s="109">
        <v>50.0</v>
      </c>
      <c r="L15" s="109">
        <f>0.48*0.31*0.53</f>
        <v>0.078864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8.0" customHeight="1">
      <c r="A16" s="33"/>
      <c r="B16" s="112" t="s">
        <v>991</v>
      </c>
      <c r="C16" s="103">
        <v>2.2</v>
      </c>
      <c r="D16" s="104">
        <v>3.0</v>
      </c>
      <c r="E16" s="103">
        <v>10.0</v>
      </c>
      <c r="F16" s="104">
        <v>20.0</v>
      </c>
      <c r="G16" s="132" t="s">
        <v>723</v>
      </c>
      <c r="H16" s="192">
        <v>979.6150799999998</v>
      </c>
      <c r="I16" s="57" t="s">
        <v>35</v>
      </c>
      <c r="J16" s="103">
        <v>2900.0</v>
      </c>
      <c r="K16" s="109">
        <v>50.0</v>
      </c>
      <c r="L16" s="109">
        <f t="shared" ref="L16:L17" si="2">0.44*0.28*0.47</f>
        <v>0.057904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8.0" customHeight="1">
      <c r="A17" s="33"/>
      <c r="B17" s="56" t="s">
        <v>992</v>
      </c>
      <c r="C17" s="103">
        <v>2.2</v>
      </c>
      <c r="D17" s="104">
        <v>3.0</v>
      </c>
      <c r="E17" s="103">
        <v>20.0</v>
      </c>
      <c r="F17" s="104">
        <v>15.0</v>
      </c>
      <c r="G17" s="132" t="s">
        <v>723</v>
      </c>
      <c r="H17" s="192">
        <v>979.6150799999998</v>
      </c>
      <c r="I17" s="57" t="s">
        <v>35</v>
      </c>
      <c r="J17" s="103">
        <v>2900.0</v>
      </c>
      <c r="K17" s="109">
        <v>50.0</v>
      </c>
      <c r="L17" s="109">
        <f t="shared" si="2"/>
        <v>0.057904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8.0" customHeight="1">
      <c r="A18" s="33"/>
      <c r="B18" s="56" t="s">
        <v>993</v>
      </c>
      <c r="C18" s="103" t="s">
        <v>988</v>
      </c>
      <c r="D18" s="104">
        <v>4.0</v>
      </c>
      <c r="E18" s="103">
        <v>18.0</v>
      </c>
      <c r="F18" s="104">
        <v>22.0</v>
      </c>
      <c r="G18" s="132" t="s">
        <v>723</v>
      </c>
      <c r="H18" s="192">
        <v>1173.8383499999998</v>
      </c>
      <c r="I18" s="57" t="s">
        <v>35</v>
      </c>
      <c r="J18" s="103">
        <v>2900.0</v>
      </c>
      <c r="K18" s="109">
        <v>50.0</v>
      </c>
      <c r="L18" s="109">
        <f t="shared" ref="L18:L19" si="3">0.48*0.31*0.53</f>
        <v>0.078864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8.0" customHeight="1">
      <c r="A19" s="33"/>
      <c r="B19" s="56" t="s">
        <v>994</v>
      </c>
      <c r="C19" s="103" t="s">
        <v>988</v>
      </c>
      <c r="D19" s="104">
        <v>4.0</v>
      </c>
      <c r="E19" s="103">
        <v>15.0</v>
      </c>
      <c r="F19" s="104">
        <v>30.0</v>
      </c>
      <c r="G19" s="132" t="s">
        <v>723</v>
      </c>
      <c r="H19" s="192">
        <v>1173.8383499999998</v>
      </c>
      <c r="I19" s="57" t="s">
        <v>35</v>
      </c>
      <c r="J19" s="103">
        <v>2900.0</v>
      </c>
      <c r="K19" s="109">
        <v>50.0</v>
      </c>
      <c r="L19" s="109">
        <f t="shared" si="3"/>
        <v>0.078864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8.0" customHeight="1">
      <c r="A20" s="77"/>
      <c r="B20" s="56" t="s">
        <v>995</v>
      </c>
      <c r="C20" s="103">
        <v>5.5</v>
      </c>
      <c r="D20" s="104">
        <v>7.5</v>
      </c>
      <c r="E20" s="103">
        <v>20.0</v>
      </c>
      <c r="F20" s="104">
        <v>35.0</v>
      </c>
      <c r="G20" s="132" t="s">
        <v>723</v>
      </c>
      <c r="H20" s="192">
        <v>1501.1564099999998</v>
      </c>
      <c r="I20" s="57" t="s">
        <v>35</v>
      </c>
      <c r="J20" s="103">
        <v>2900.0</v>
      </c>
      <c r="K20" s="109">
        <v>50.0</v>
      </c>
      <c r="L20" s="109">
        <f>0.68*0.35*0.63</f>
        <v>0.14994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8.0" customHeight="1">
      <c r="A21" s="33"/>
      <c r="B21" s="112" t="s">
        <v>996</v>
      </c>
      <c r="C21" s="103">
        <v>7.5</v>
      </c>
      <c r="D21" s="104">
        <v>10.0</v>
      </c>
      <c r="E21" s="103">
        <v>20.0</v>
      </c>
      <c r="F21" s="104">
        <v>40.0</v>
      </c>
      <c r="G21" s="132" t="s">
        <v>723</v>
      </c>
      <c r="H21" s="192">
        <v>1569.3411749999998</v>
      </c>
      <c r="I21" s="57" t="s">
        <v>35</v>
      </c>
      <c r="J21" s="103">
        <v>2900.0</v>
      </c>
      <c r="K21" s="109">
        <v>50.0</v>
      </c>
      <c r="L21" s="109">
        <f>0.66*0.33*0.64</f>
        <v>0.139392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8.0" customHeight="1">
      <c r="A22" s="33"/>
      <c r="B22" s="112" t="s">
        <v>997</v>
      </c>
      <c r="C22" s="103" t="s">
        <v>998</v>
      </c>
      <c r="D22" s="104">
        <v>15.0</v>
      </c>
      <c r="E22" s="103">
        <v>20.0</v>
      </c>
      <c r="F22" s="104">
        <v>50.0</v>
      </c>
      <c r="G22" s="132" t="s">
        <v>723</v>
      </c>
      <c r="H22" s="192">
        <v>2340.9712799999998</v>
      </c>
      <c r="I22" s="57" t="s">
        <v>35</v>
      </c>
      <c r="J22" s="103">
        <v>2900.0</v>
      </c>
      <c r="K22" s="109">
        <v>50.0</v>
      </c>
      <c r="L22" s="109">
        <f>0.68*0.42*0.65</f>
        <v>0.18564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8.0" customHeight="1">
      <c r="A23" s="33"/>
      <c r="B23" s="56" t="s">
        <v>999</v>
      </c>
      <c r="C23" s="103" t="s">
        <v>1000</v>
      </c>
      <c r="D23" s="104">
        <v>5.5</v>
      </c>
      <c r="E23" s="103">
        <v>30.0</v>
      </c>
      <c r="F23" s="104">
        <v>18.0</v>
      </c>
      <c r="G23" s="132" t="s">
        <v>760</v>
      </c>
      <c r="H23" s="192">
        <v>1258.3578299999997</v>
      </c>
      <c r="I23" s="57" t="s">
        <v>35</v>
      </c>
      <c r="J23" s="103">
        <v>2900.0</v>
      </c>
      <c r="K23" s="109">
        <v>50.0</v>
      </c>
      <c r="L23" s="109">
        <f>0.5*0.33*0.53</f>
        <v>0.08745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8.0" customHeight="1">
      <c r="A24" s="33"/>
      <c r="B24" s="112" t="s">
        <v>1001</v>
      </c>
      <c r="C24" s="103" t="s">
        <v>1000</v>
      </c>
      <c r="D24" s="104">
        <v>5.5</v>
      </c>
      <c r="E24" s="103">
        <v>30.0</v>
      </c>
      <c r="F24" s="104">
        <v>18.0</v>
      </c>
      <c r="G24" s="132" t="s">
        <v>760</v>
      </c>
      <c r="H24" s="192">
        <v>1654.4064449999996</v>
      </c>
      <c r="I24" s="57" t="s">
        <v>35</v>
      </c>
      <c r="J24" s="103">
        <v>1450.0</v>
      </c>
      <c r="K24" s="109">
        <v>50.0</v>
      </c>
      <c r="L24" s="109">
        <f>0.68*0.34*0.68</f>
        <v>0.157216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8.0" customHeight="1">
      <c r="A25" s="33"/>
      <c r="B25" s="56" t="s">
        <v>1002</v>
      </c>
      <c r="C25" s="103">
        <v>5.5</v>
      </c>
      <c r="D25" s="104">
        <v>7.5</v>
      </c>
      <c r="E25" s="103">
        <v>25.0</v>
      </c>
      <c r="F25" s="104">
        <v>30.0</v>
      </c>
      <c r="G25" s="132" t="s">
        <v>760</v>
      </c>
      <c r="H25" s="192">
        <v>1501.1564099999998</v>
      </c>
      <c r="I25" s="57" t="s">
        <v>35</v>
      </c>
      <c r="J25" s="103">
        <v>2900.0</v>
      </c>
      <c r="K25" s="109">
        <v>50.0</v>
      </c>
      <c r="L25" s="109">
        <f t="shared" ref="L25:L26" si="4">0.66*0.33*0.64</f>
        <v>0.139392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8.0" customHeight="1">
      <c r="A26" s="33"/>
      <c r="B26" s="112" t="s">
        <v>1003</v>
      </c>
      <c r="C26" s="103">
        <v>7.5</v>
      </c>
      <c r="D26" s="104">
        <v>10.0</v>
      </c>
      <c r="E26" s="103">
        <v>25.0</v>
      </c>
      <c r="F26" s="104">
        <v>40.0</v>
      </c>
      <c r="G26" s="132" t="s">
        <v>760</v>
      </c>
      <c r="H26" s="192">
        <v>1569.3411749999998</v>
      </c>
      <c r="I26" s="57" t="s">
        <v>35</v>
      </c>
      <c r="J26" s="103">
        <v>2900.0</v>
      </c>
      <c r="K26" s="109">
        <v>50.0</v>
      </c>
      <c r="L26" s="109">
        <f t="shared" si="4"/>
        <v>0.139392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8.0" customHeight="1">
      <c r="A27" s="33"/>
      <c r="B27" s="112" t="s">
        <v>1004</v>
      </c>
      <c r="C27" s="103" t="s">
        <v>998</v>
      </c>
      <c r="D27" s="104">
        <v>15.0</v>
      </c>
      <c r="E27" s="103">
        <v>25.0</v>
      </c>
      <c r="F27" s="104">
        <v>50.0</v>
      </c>
      <c r="G27" s="132" t="s">
        <v>760</v>
      </c>
      <c r="H27" s="192">
        <v>2340.9712799999998</v>
      </c>
      <c r="I27" s="57" t="s">
        <v>35</v>
      </c>
      <c r="J27" s="103">
        <v>2900.0</v>
      </c>
      <c r="K27" s="109">
        <v>50.0</v>
      </c>
      <c r="L27" s="109">
        <f>0.68*0.42*0.65</f>
        <v>0.18564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8.0" customHeight="1">
      <c r="A28" s="33"/>
      <c r="B28" s="56" t="s">
        <v>1005</v>
      </c>
      <c r="C28" s="103">
        <v>7.5</v>
      </c>
      <c r="D28" s="104">
        <v>10.0</v>
      </c>
      <c r="E28" s="103">
        <v>40.0</v>
      </c>
      <c r="F28" s="104">
        <v>25.0</v>
      </c>
      <c r="G28" s="132" t="s">
        <v>760</v>
      </c>
      <c r="H28" s="192">
        <v>1569.3411749999998</v>
      </c>
      <c r="I28" s="57" t="s">
        <v>35</v>
      </c>
      <c r="J28" s="103">
        <v>2900.0</v>
      </c>
      <c r="K28" s="109">
        <v>50.0</v>
      </c>
      <c r="L28" s="109">
        <f>0.66*0.33*0.64</f>
        <v>0.139392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8.0" customHeight="1">
      <c r="A29" s="33"/>
      <c r="B29" s="56" t="s">
        <v>1006</v>
      </c>
      <c r="C29" s="103" t="s">
        <v>1000</v>
      </c>
      <c r="D29" s="104">
        <v>5.5</v>
      </c>
      <c r="E29" s="103">
        <v>40.0</v>
      </c>
      <c r="F29" s="104">
        <v>16.0</v>
      </c>
      <c r="G29" s="132" t="s">
        <v>793</v>
      </c>
      <c r="H29" s="192">
        <v>1324.5933449999995</v>
      </c>
      <c r="I29" s="57" t="s">
        <v>35</v>
      </c>
      <c r="J29" s="103">
        <v>2900.0</v>
      </c>
      <c r="K29" s="109">
        <v>50.0</v>
      </c>
      <c r="L29" s="109">
        <f>0.5*0.33*0.53</f>
        <v>0.08745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8.0" customHeight="1">
      <c r="A30" s="33"/>
      <c r="B30" s="112" t="s">
        <v>1007</v>
      </c>
      <c r="C30" s="103" t="s">
        <v>1000</v>
      </c>
      <c r="D30" s="104">
        <v>5.5</v>
      </c>
      <c r="E30" s="103">
        <v>40.0</v>
      </c>
      <c r="F30" s="104">
        <v>16.0</v>
      </c>
      <c r="G30" s="132" t="s">
        <v>793</v>
      </c>
      <c r="H30" s="192">
        <v>1654.4064449999996</v>
      </c>
      <c r="I30" s="57" t="s">
        <v>35</v>
      </c>
      <c r="J30" s="103">
        <v>1450.0</v>
      </c>
      <c r="K30" s="109">
        <v>50.0</v>
      </c>
      <c r="L30" s="109">
        <f>0.68*0.34*0.68</f>
        <v>0.157216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8.0" customHeight="1">
      <c r="A31" s="33"/>
      <c r="B31" s="112" t="s">
        <v>1008</v>
      </c>
      <c r="C31" s="103">
        <v>7.5</v>
      </c>
      <c r="D31" s="104">
        <v>10.0</v>
      </c>
      <c r="E31" s="103">
        <v>25.0</v>
      </c>
      <c r="F31" s="104">
        <v>40.0</v>
      </c>
      <c r="G31" s="132" t="s">
        <v>793</v>
      </c>
      <c r="H31" s="192">
        <v>1569.3411749999998</v>
      </c>
      <c r="I31" s="57" t="s">
        <v>35</v>
      </c>
      <c r="J31" s="103">
        <v>2900.0</v>
      </c>
      <c r="K31" s="109">
        <v>50.0</v>
      </c>
      <c r="L31" s="109">
        <f>0.66*0.33*0.64</f>
        <v>0.139392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8.0" customHeight="1">
      <c r="A32" s="33"/>
      <c r="B32" s="56" t="s">
        <v>1009</v>
      </c>
      <c r="C32" s="103">
        <v>5.5</v>
      </c>
      <c r="D32" s="104">
        <v>7.5</v>
      </c>
      <c r="E32" s="103">
        <v>50.0</v>
      </c>
      <c r="F32" s="104">
        <v>15.0</v>
      </c>
      <c r="G32" s="132" t="s">
        <v>793</v>
      </c>
      <c r="H32" s="192">
        <v>1519.0895099999996</v>
      </c>
      <c r="I32" s="57" t="s">
        <v>35</v>
      </c>
      <c r="J32" s="103">
        <v>2900.0</v>
      </c>
      <c r="K32" s="109">
        <v>50.0</v>
      </c>
      <c r="L32" s="109">
        <f t="shared" ref="L32:L33" si="5">0.59*0.34*0.59</f>
        <v>0.118354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8.0" customHeight="1">
      <c r="A33" s="33"/>
      <c r="B33" s="56" t="s">
        <v>1010</v>
      </c>
      <c r="C33" s="103">
        <v>7.5</v>
      </c>
      <c r="D33" s="104">
        <v>10.0</v>
      </c>
      <c r="E33" s="103">
        <v>65.0</v>
      </c>
      <c r="F33" s="104">
        <v>25.0</v>
      </c>
      <c r="G33" s="132" t="s">
        <v>793</v>
      </c>
      <c r="H33" s="192">
        <v>1569.3411749999998</v>
      </c>
      <c r="I33" s="57" t="s">
        <v>35</v>
      </c>
      <c r="J33" s="103">
        <v>2900.0</v>
      </c>
      <c r="K33" s="109">
        <v>50.0</v>
      </c>
      <c r="L33" s="109">
        <f t="shared" si="5"/>
        <v>0.118354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8.0" customHeight="1">
      <c r="A34" s="33"/>
      <c r="B34" s="56" t="s">
        <v>1011</v>
      </c>
      <c r="C34" s="103" t="s">
        <v>998</v>
      </c>
      <c r="D34" s="104">
        <v>15.0</v>
      </c>
      <c r="E34" s="103">
        <v>50.0</v>
      </c>
      <c r="F34" s="104">
        <v>30.0</v>
      </c>
      <c r="G34" s="132" t="s">
        <v>793</v>
      </c>
      <c r="H34" s="192">
        <v>2340.9712799999998</v>
      </c>
      <c r="I34" s="57" t="s">
        <v>35</v>
      </c>
      <c r="J34" s="103">
        <v>2900.0</v>
      </c>
      <c r="K34" s="109">
        <v>50.0</v>
      </c>
      <c r="L34" s="109">
        <f>0.68*0.34*0.68</f>
        <v>0.157216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8.0" customHeight="1">
      <c r="A35" s="33"/>
      <c r="B35" s="112" t="s">
        <v>1012</v>
      </c>
      <c r="C35" s="103" t="s">
        <v>1013</v>
      </c>
      <c r="D35" s="104">
        <v>20.0</v>
      </c>
      <c r="E35" s="103">
        <v>80.0</v>
      </c>
      <c r="F35" s="104">
        <v>35.0</v>
      </c>
      <c r="G35" s="132" t="s">
        <v>793</v>
      </c>
      <c r="H35" s="192">
        <v>2459.9924849999998</v>
      </c>
      <c r="I35" s="57" t="s">
        <v>35</v>
      </c>
      <c r="J35" s="103">
        <v>2900.0</v>
      </c>
      <c r="K35" s="109">
        <v>50.0</v>
      </c>
      <c r="L35" s="109">
        <f>0.75*0.45*0.73</f>
        <v>0.246375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8.0" customHeight="1">
      <c r="A36" s="33"/>
      <c r="B36" s="112" t="s">
        <v>1014</v>
      </c>
      <c r="C36" s="103" t="s">
        <v>1015</v>
      </c>
      <c r="D36" s="104">
        <v>30.0</v>
      </c>
      <c r="E36" s="103">
        <v>50.0</v>
      </c>
      <c r="F36" s="104">
        <v>60.0</v>
      </c>
      <c r="G36" s="132" t="s">
        <v>793</v>
      </c>
      <c r="H36" s="192">
        <v>3057.2816699999994</v>
      </c>
      <c r="I36" s="57" t="s">
        <v>35</v>
      </c>
      <c r="J36" s="103">
        <v>2900.0</v>
      </c>
      <c r="K36" s="109">
        <v>50.0</v>
      </c>
      <c r="L36" s="109">
        <f>0.72*0.43*0.7</f>
        <v>0.21672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8.0" customHeight="1">
      <c r="A37" s="33"/>
      <c r="B37" s="112" t="s">
        <v>1016</v>
      </c>
      <c r="C37" s="103">
        <v>5.5</v>
      </c>
      <c r="D37" s="104">
        <v>7.5</v>
      </c>
      <c r="E37" s="103">
        <v>100.0</v>
      </c>
      <c r="F37" s="104">
        <v>10.0</v>
      </c>
      <c r="G37" s="132" t="s">
        <v>819</v>
      </c>
      <c r="H37" s="192">
        <v>2127.09957</v>
      </c>
      <c r="I37" s="57" t="s">
        <v>35</v>
      </c>
      <c r="J37" s="103">
        <v>1450.0</v>
      </c>
      <c r="K37" s="109">
        <v>50.0</v>
      </c>
      <c r="L37" s="109">
        <f t="shared" ref="L37:L40" si="6">0.79*0.43*0.8</f>
        <v>0.27176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8.0" customHeight="1">
      <c r="A38" s="33"/>
      <c r="B38" s="112" t="s">
        <v>1017</v>
      </c>
      <c r="C38" s="103">
        <v>7.5</v>
      </c>
      <c r="D38" s="104">
        <v>10.0</v>
      </c>
      <c r="E38" s="103">
        <v>80.0</v>
      </c>
      <c r="F38" s="104">
        <v>20.0</v>
      </c>
      <c r="G38" s="132" t="s">
        <v>819</v>
      </c>
      <c r="H38" s="192">
        <v>2236.2575699999998</v>
      </c>
      <c r="I38" s="57" t="s">
        <v>35</v>
      </c>
      <c r="J38" s="103">
        <v>1450.0</v>
      </c>
      <c r="K38" s="109">
        <v>50.0</v>
      </c>
      <c r="L38" s="109">
        <f t="shared" si="6"/>
        <v>0.27176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8.0" customHeight="1">
      <c r="A39" s="33"/>
      <c r="B39" s="112" t="s">
        <v>1018</v>
      </c>
      <c r="C39" s="103">
        <v>7.5</v>
      </c>
      <c r="D39" s="104">
        <v>10.0</v>
      </c>
      <c r="E39" s="103">
        <v>100.0</v>
      </c>
      <c r="F39" s="104">
        <v>15.0</v>
      </c>
      <c r="G39" s="132" t="s">
        <v>819</v>
      </c>
      <c r="H39" s="192">
        <v>2236.2575699999998</v>
      </c>
      <c r="I39" s="57" t="s">
        <v>35</v>
      </c>
      <c r="J39" s="103">
        <v>1450.0</v>
      </c>
      <c r="K39" s="109">
        <v>50.0</v>
      </c>
      <c r="L39" s="109">
        <f t="shared" si="6"/>
        <v>0.27176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8.0" customHeight="1">
      <c r="A40" s="33"/>
      <c r="B40" s="112" t="s">
        <v>1019</v>
      </c>
      <c r="C40" s="103" t="s">
        <v>998</v>
      </c>
      <c r="D40" s="104">
        <v>15.0</v>
      </c>
      <c r="E40" s="103">
        <v>100.0</v>
      </c>
      <c r="F40" s="104">
        <v>15.0</v>
      </c>
      <c r="G40" s="132" t="s">
        <v>819</v>
      </c>
      <c r="H40" s="192">
        <v>2485.5276599999997</v>
      </c>
      <c r="I40" s="57" t="s">
        <v>35</v>
      </c>
      <c r="J40" s="103">
        <v>2900.0</v>
      </c>
      <c r="K40" s="109">
        <v>50.0</v>
      </c>
      <c r="L40" s="109">
        <f t="shared" si="6"/>
        <v>0.27176</v>
      </c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18.0" customHeight="1">
      <c r="A41" s="33"/>
      <c r="B41" s="112" t="s">
        <v>1020</v>
      </c>
      <c r="C41" s="103" t="s">
        <v>1013</v>
      </c>
      <c r="D41" s="104">
        <v>20.0</v>
      </c>
      <c r="E41" s="103">
        <v>100.0</v>
      </c>
      <c r="F41" s="104">
        <v>20.0</v>
      </c>
      <c r="G41" s="132" t="s">
        <v>819</v>
      </c>
      <c r="H41" s="192">
        <v>2604.82176</v>
      </c>
      <c r="I41" s="57" t="s">
        <v>35</v>
      </c>
      <c r="J41" s="103">
        <v>2900.0</v>
      </c>
      <c r="K41" s="109">
        <v>50.0</v>
      </c>
      <c r="L41" s="109">
        <f>0.86*0.45*0.82</f>
        <v>0.31734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8.0" customHeight="1">
      <c r="A42" s="33"/>
      <c r="B42" s="112" t="s">
        <v>1021</v>
      </c>
      <c r="C42" s="103" t="s">
        <v>998</v>
      </c>
      <c r="D42" s="104">
        <v>15.0</v>
      </c>
      <c r="E42" s="103">
        <v>100.0</v>
      </c>
      <c r="F42" s="104">
        <v>20.0</v>
      </c>
      <c r="G42" s="132" t="s">
        <v>819</v>
      </c>
      <c r="H42" s="192">
        <v>2713.7458499999993</v>
      </c>
      <c r="I42" s="57" t="s">
        <v>35</v>
      </c>
      <c r="J42" s="103">
        <v>1450.0</v>
      </c>
      <c r="K42" s="109">
        <v>50.0</v>
      </c>
      <c r="L42" s="109">
        <f>0.81*0.45*0.88</f>
        <v>0.32076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8.0" customHeight="1">
      <c r="A43" s="33"/>
      <c r="B43" s="112" t="s">
        <v>1022</v>
      </c>
      <c r="C43" s="103" t="s">
        <v>1015</v>
      </c>
      <c r="D43" s="104">
        <v>30.0</v>
      </c>
      <c r="E43" s="103">
        <v>100.0</v>
      </c>
      <c r="F43" s="104">
        <v>30.0</v>
      </c>
      <c r="G43" s="132" t="s">
        <v>819</v>
      </c>
      <c r="H43" s="192">
        <v>2996.9328899999996</v>
      </c>
      <c r="I43" s="57" t="s">
        <v>35</v>
      </c>
      <c r="J43" s="103">
        <v>2900.0</v>
      </c>
      <c r="K43" s="109">
        <v>50.0</v>
      </c>
      <c r="L43" s="109">
        <f>0.86*0.45*0.82</f>
        <v>0.31734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8.0" customHeight="1">
      <c r="A44" s="33"/>
      <c r="B44" s="112" t="s">
        <v>1023</v>
      </c>
      <c r="C44" s="103">
        <v>30.0</v>
      </c>
      <c r="D44" s="104">
        <v>40.0</v>
      </c>
      <c r="E44" s="103">
        <v>80.0</v>
      </c>
      <c r="F44" s="104">
        <v>45.0</v>
      </c>
      <c r="G44" s="132" t="s">
        <v>819</v>
      </c>
      <c r="H44" s="193" t="s">
        <v>80</v>
      </c>
      <c r="I44" s="57" t="s">
        <v>35</v>
      </c>
      <c r="J44" s="103">
        <v>2900.0</v>
      </c>
      <c r="K44" s="109">
        <v>50.0</v>
      </c>
      <c r="L44" s="109">
        <f t="shared" ref="L44:L46" si="7">0.83*0.55*0.84</f>
        <v>0.38346</v>
      </c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8.0" customHeight="1">
      <c r="A45" s="33"/>
      <c r="B45" s="112" t="s">
        <v>1024</v>
      </c>
      <c r="C45" s="103" t="s">
        <v>1025</v>
      </c>
      <c r="D45" s="104">
        <v>50.0</v>
      </c>
      <c r="E45" s="103">
        <v>80.0</v>
      </c>
      <c r="F45" s="104">
        <v>60.0</v>
      </c>
      <c r="G45" s="132" t="s">
        <v>819</v>
      </c>
      <c r="H45" s="193" t="s">
        <v>80</v>
      </c>
      <c r="I45" s="57" t="s">
        <v>35</v>
      </c>
      <c r="J45" s="103">
        <v>2900.0</v>
      </c>
      <c r="K45" s="109">
        <v>50.0</v>
      </c>
      <c r="L45" s="109">
        <f t="shared" si="7"/>
        <v>0.38346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8.0" customHeight="1">
      <c r="A46" s="33"/>
      <c r="B46" s="112" t="s">
        <v>1026</v>
      </c>
      <c r="C46" s="103" t="s">
        <v>1027</v>
      </c>
      <c r="D46" s="104">
        <v>60.0</v>
      </c>
      <c r="E46" s="103">
        <v>80.0</v>
      </c>
      <c r="F46" s="104">
        <v>80.0</v>
      </c>
      <c r="G46" s="132" t="s">
        <v>819</v>
      </c>
      <c r="H46" s="193" t="s">
        <v>80</v>
      </c>
      <c r="I46" s="57" t="s">
        <v>35</v>
      </c>
      <c r="J46" s="103">
        <v>2900.0</v>
      </c>
      <c r="K46" s="109">
        <v>50.0</v>
      </c>
      <c r="L46" s="109">
        <f t="shared" si="7"/>
        <v>0.38346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8.0" customHeight="1">
      <c r="A47" s="33"/>
      <c r="B47" s="112" t="s">
        <v>1028</v>
      </c>
      <c r="C47" s="103" t="s">
        <v>1013</v>
      </c>
      <c r="D47" s="104">
        <v>20.0</v>
      </c>
      <c r="E47" s="103">
        <v>120.0</v>
      </c>
      <c r="F47" s="104">
        <v>20.0</v>
      </c>
      <c r="G47" s="132" t="s">
        <v>1029</v>
      </c>
      <c r="H47" s="192">
        <v>4049.8397699999996</v>
      </c>
      <c r="I47" s="57" t="s">
        <v>35</v>
      </c>
      <c r="J47" s="103">
        <v>1450.0</v>
      </c>
      <c r="K47" s="109">
        <v>50.0</v>
      </c>
      <c r="L47" s="109">
        <f t="shared" ref="L47:L50" si="8">0.81*0.45*0.88</f>
        <v>0.32076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8.0" customHeight="1">
      <c r="A48" s="33"/>
      <c r="B48" s="112" t="s">
        <v>1030</v>
      </c>
      <c r="C48" s="103" t="s">
        <v>998</v>
      </c>
      <c r="D48" s="104">
        <v>15.0</v>
      </c>
      <c r="E48" s="103">
        <v>180.0</v>
      </c>
      <c r="F48" s="104">
        <v>10.0</v>
      </c>
      <c r="G48" s="132" t="s">
        <v>1031</v>
      </c>
      <c r="H48" s="192">
        <v>3898.811879999999</v>
      </c>
      <c r="I48" s="57" t="s">
        <v>35</v>
      </c>
      <c r="J48" s="103">
        <v>1450.0</v>
      </c>
      <c r="K48" s="109">
        <v>50.0</v>
      </c>
      <c r="L48" s="109">
        <f t="shared" si="8"/>
        <v>0.32076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8.0" customHeight="1">
      <c r="A49" s="33"/>
      <c r="B49" s="112" t="s">
        <v>1032</v>
      </c>
      <c r="C49" s="103" t="s">
        <v>1013</v>
      </c>
      <c r="D49" s="104">
        <v>20.0</v>
      </c>
      <c r="E49" s="103">
        <v>180.0</v>
      </c>
      <c r="F49" s="104">
        <v>14.0</v>
      </c>
      <c r="G49" s="132" t="s">
        <v>1031</v>
      </c>
      <c r="H49" s="192">
        <v>4049.8397699999996</v>
      </c>
      <c r="I49" s="57" t="s">
        <v>35</v>
      </c>
      <c r="J49" s="103">
        <v>1450.0</v>
      </c>
      <c r="K49" s="109">
        <v>50.0</v>
      </c>
      <c r="L49" s="109">
        <f t="shared" si="8"/>
        <v>0.32076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8.0" customHeight="1">
      <c r="A50" s="33"/>
      <c r="B50" s="112" t="s">
        <v>1033</v>
      </c>
      <c r="C50" s="103">
        <v>18.5</v>
      </c>
      <c r="D50" s="104">
        <v>25.0</v>
      </c>
      <c r="E50" s="103">
        <v>180.0</v>
      </c>
      <c r="F50" s="104">
        <v>20.0</v>
      </c>
      <c r="G50" s="132" t="s">
        <v>1031</v>
      </c>
      <c r="H50" s="192">
        <v>4374.584819999999</v>
      </c>
      <c r="I50" s="57" t="s">
        <v>35</v>
      </c>
      <c r="J50" s="103">
        <v>1450.0</v>
      </c>
      <c r="K50" s="109">
        <v>50.0</v>
      </c>
      <c r="L50" s="109">
        <f t="shared" si="8"/>
        <v>0.32076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8.0" customHeight="1">
      <c r="A51" s="33"/>
      <c r="B51" s="112" t="s">
        <v>1034</v>
      </c>
      <c r="C51" s="103" t="s">
        <v>1035</v>
      </c>
      <c r="D51" s="104">
        <v>40.0</v>
      </c>
      <c r="E51" s="103">
        <v>180.0</v>
      </c>
      <c r="F51" s="104">
        <v>30.0</v>
      </c>
      <c r="G51" s="132" t="s">
        <v>1031</v>
      </c>
      <c r="H51" s="193" t="s">
        <v>80</v>
      </c>
      <c r="I51" s="57" t="s">
        <v>35</v>
      </c>
      <c r="J51" s="103">
        <v>1450.0</v>
      </c>
      <c r="K51" s="109">
        <v>50.0</v>
      </c>
      <c r="L51" s="109">
        <f>0.87*0.55*0.99</f>
        <v>0.473715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8.0" customHeight="1">
      <c r="A52" s="33"/>
      <c r="B52" s="112" t="s">
        <v>1036</v>
      </c>
      <c r="C52" s="103" t="s">
        <v>1025</v>
      </c>
      <c r="D52" s="104">
        <v>50.0</v>
      </c>
      <c r="E52" s="103">
        <v>180.0</v>
      </c>
      <c r="F52" s="104">
        <v>35.0</v>
      </c>
      <c r="G52" s="132" t="s">
        <v>1031</v>
      </c>
      <c r="H52" s="193" t="s">
        <v>80</v>
      </c>
      <c r="I52" s="57" t="s">
        <v>35</v>
      </c>
      <c r="J52" s="103">
        <v>1450.0</v>
      </c>
      <c r="K52" s="109">
        <v>50.0</v>
      </c>
      <c r="L52" s="109">
        <f>0.95*0.65*1.07</f>
        <v>0.660725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8.0" customHeight="1">
      <c r="A53" s="33"/>
      <c r="B53" s="112" t="s">
        <v>1037</v>
      </c>
      <c r="C53" s="103" t="s">
        <v>1027</v>
      </c>
      <c r="D53" s="104">
        <v>60.0</v>
      </c>
      <c r="E53" s="103">
        <v>180.0</v>
      </c>
      <c r="F53" s="104">
        <v>38.0</v>
      </c>
      <c r="G53" s="132" t="s">
        <v>1031</v>
      </c>
      <c r="H53" s="193" t="s">
        <v>80</v>
      </c>
      <c r="I53" s="57" t="s">
        <v>35</v>
      </c>
      <c r="J53" s="103">
        <v>1450.0</v>
      </c>
      <c r="K53" s="109">
        <v>50.0</v>
      </c>
      <c r="L53" s="109">
        <f>1.02*0.58*0.93</f>
        <v>0.550188</v>
      </c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8.0" customHeight="1">
      <c r="A54" s="33"/>
      <c r="B54" s="112" t="s">
        <v>1038</v>
      </c>
      <c r="C54" s="103" t="s">
        <v>1039</v>
      </c>
      <c r="D54" s="104">
        <v>75.0</v>
      </c>
      <c r="E54" s="103">
        <v>180.0</v>
      </c>
      <c r="F54" s="104">
        <v>45.0</v>
      </c>
      <c r="G54" s="132" t="s">
        <v>1031</v>
      </c>
      <c r="H54" s="193" t="s">
        <v>80</v>
      </c>
      <c r="I54" s="57" t="s">
        <v>35</v>
      </c>
      <c r="J54" s="103">
        <v>1450.0</v>
      </c>
      <c r="K54" s="109">
        <v>50.0</v>
      </c>
      <c r="L54" s="109">
        <f>0.95*0.65*1.07</f>
        <v>0.660725</v>
      </c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8.0" customHeight="1">
      <c r="A55" s="33"/>
      <c r="B55" s="112" t="s">
        <v>1040</v>
      </c>
      <c r="C55" s="103" t="s">
        <v>1015</v>
      </c>
      <c r="D55" s="104">
        <v>30.0</v>
      </c>
      <c r="E55" s="103">
        <v>280.0</v>
      </c>
      <c r="F55" s="104">
        <v>14.0</v>
      </c>
      <c r="G55" s="132" t="s">
        <v>1041</v>
      </c>
      <c r="H55" s="193" t="s">
        <v>80</v>
      </c>
      <c r="I55" s="57" t="s">
        <v>35</v>
      </c>
      <c r="J55" s="103">
        <v>1450.0</v>
      </c>
      <c r="K55" s="109">
        <v>50.0</v>
      </c>
      <c r="L55" s="109">
        <f>1.04*0.51*1.02</f>
        <v>0.541008</v>
      </c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8.0" customHeight="1">
      <c r="A56" s="33"/>
      <c r="B56" s="112" t="s">
        <v>1042</v>
      </c>
      <c r="C56" s="103" t="s">
        <v>1025</v>
      </c>
      <c r="D56" s="104">
        <v>50.0</v>
      </c>
      <c r="E56" s="103">
        <v>280.0</v>
      </c>
      <c r="F56" s="104">
        <v>20.0</v>
      </c>
      <c r="G56" s="132" t="s">
        <v>1041</v>
      </c>
      <c r="H56" s="193" t="s">
        <v>80</v>
      </c>
      <c r="I56" s="57" t="s">
        <v>35</v>
      </c>
      <c r="J56" s="103">
        <v>1450.0</v>
      </c>
      <c r="K56" s="109">
        <v>50.0</v>
      </c>
      <c r="L56" s="109">
        <f t="shared" ref="L56:L57" si="9">1.04*0.56*1.02</f>
        <v>0.594048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8.0" customHeight="1">
      <c r="A57" s="33"/>
      <c r="B57" s="112" t="s">
        <v>1043</v>
      </c>
      <c r="C57" s="103" t="s">
        <v>1027</v>
      </c>
      <c r="D57" s="104">
        <v>60.0</v>
      </c>
      <c r="E57" s="103">
        <v>280.0</v>
      </c>
      <c r="F57" s="104">
        <v>25.0</v>
      </c>
      <c r="G57" s="132" t="s">
        <v>1041</v>
      </c>
      <c r="H57" s="193" t="s">
        <v>80</v>
      </c>
      <c r="I57" s="57" t="s">
        <v>35</v>
      </c>
      <c r="J57" s="103">
        <v>1450.0</v>
      </c>
      <c r="K57" s="109">
        <v>50.0</v>
      </c>
      <c r="L57" s="109">
        <f t="shared" si="9"/>
        <v>0.594048</v>
      </c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8.0" customHeight="1">
      <c r="A58" s="33"/>
      <c r="B58" s="112" t="s">
        <v>1044</v>
      </c>
      <c r="C58" s="103" t="s">
        <v>1039</v>
      </c>
      <c r="D58" s="104">
        <v>75.0</v>
      </c>
      <c r="E58" s="103">
        <v>280.0</v>
      </c>
      <c r="F58" s="104">
        <v>28.0</v>
      </c>
      <c r="G58" s="132" t="s">
        <v>1041</v>
      </c>
      <c r="H58" s="193" t="s">
        <v>80</v>
      </c>
      <c r="I58" s="57" t="s">
        <v>35</v>
      </c>
      <c r="J58" s="103">
        <v>1450.0</v>
      </c>
      <c r="K58" s="109">
        <v>50.0</v>
      </c>
      <c r="L58" s="109">
        <f>1.23*0.52*1.03</f>
        <v>0.658788</v>
      </c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8.0" customHeight="1">
      <c r="A59" s="33"/>
      <c r="B59" s="112" t="s">
        <v>1045</v>
      </c>
      <c r="C59" s="103" t="s">
        <v>1027</v>
      </c>
      <c r="D59" s="104">
        <v>60.0</v>
      </c>
      <c r="E59" s="103">
        <v>420.0</v>
      </c>
      <c r="F59" s="104">
        <v>14.0</v>
      </c>
      <c r="G59" s="132" t="s">
        <v>1046</v>
      </c>
      <c r="H59" s="193" t="s">
        <v>80</v>
      </c>
      <c r="I59" s="57" t="s">
        <v>35</v>
      </c>
      <c r="J59" s="103">
        <v>1450.0</v>
      </c>
      <c r="K59" s="109">
        <v>50.0</v>
      </c>
      <c r="L59" s="109">
        <f t="shared" ref="L59:L60" si="10">1.06*0.68*1.1</f>
        <v>0.79288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8.0" customHeight="1">
      <c r="A60" s="33"/>
      <c r="B60" s="112" t="s">
        <v>1047</v>
      </c>
      <c r="C60" s="103" t="s">
        <v>1039</v>
      </c>
      <c r="D60" s="104">
        <v>75.0</v>
      </c>
      <c r="E60" s="103">
        <v>420.0</v>
      </c>
      <c r="F60" s="104">
        <v>20.0</v>
      </c>
      <c r="G60" s="132" t="s">
        <v>1046</v>
      </c>
      <c r="H60" s="193" t="s">
        <v>80</v>
      </c>
      <c r="I60" s="57" t="s">
        <v>35</v>
      </c>
      <c r="J60" s="103">
        <v>1450.0</v>
      </c>
      <c r="K60" s="109">
        <v>50.0</v>
      </c>
      <c r="L60" s="109">
        <f t="shared" si="10"/>
        <v>0.79288</v>
      </c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8.0" customHeight="1">
      <c r="A61" s="33"/>
      <c r="B61" s="112" t="s">
        <v>1048</v>
      </c>
      <c r="C61" s="103" t="s">
        <v>1039</v>
      </c>
      <c r="D61" s="104">
        <v>75.0</v>
      </c>
      <c r="E61" s="103">
        <v>800.0</v>
      </c>
      <c r="F61" s="104">
        <v>14.0</v>
      </c>
      <c r="G61" s="132" t="s">
        <v>1049</v>
      </c>
      <c r="H61" s="193" t="s">
        <v>80</v>
      </c>
      <c r="I61" s="57" t="s">
        <v>35</v>
      </c>
      <c r="J61" s="103">
        <v>1450.0</v>
      </c>
      <c r="K61" s="109">
        <v>50.0</v>
      </c>
      <c r="L61" s="109">
        <f t="shared" ref="L61:L62" si="11">1.5*0.68*1.35</f>
        <v>1.377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8.0" customHeight="1">
      <c r="A62" s="33"/>
      <c r="B62" s="112" t="s">
        <v>1050</v>
      </c>
      <c r="C62" s="103" t="s">
        <v>1051</v>
      </c>
      <c r="D62" s="104">
        <v>100.0</v>
      </c>
      <c r="E62" s="103">
        <v>800.0</v>
      </c>
      <c r="F62" s="104">
        <v>20.0</v>
      </c>
      <c r="G62" s="132" t="s">
        <v>1049</v>
      </c>
      <c r="H62" s="193" t="s">
        <v>80</v>
      </c>
      <c r="I62" s="57" t="s">
        <v>35</v>
      </c>
      <c r="J62" s="103">
        <v>1450.0</v>
      </c>
      <c r="K62" s="109">
        <v>50.0</v>
      </c>
      <c r="L62" s="109">
        <f t="shared" si="11"/>
        <v>1.377</v>
      </c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7.5" customHeight="1">
      <c r="A63" s="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41" t="s">
        <v>124</v>
      </c>
      <c r="C64" s="142"/>
      <c r="D64" s="74" t="s">
        <v>125</v>
      </c>
      <c r="E64" s="76"/>
      <c r="F64" s="76"/>
      <c r="G64" s="76"/>
      <c r="H64" s="76"/>
      <c r="I64" s="76"/>
      <c r="J64" s="76"/>
      <c r="K64" s="76"/>
      <c r="L64" s="76"/>
      <c r="M64" s="7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43" t="s">
        <v>126</v>
      </c>
      <c r="C65" s="144"/>
      <c r="D65" s="79" t="s">
        <v>898</v>
      </c>
      <c r="E65" s="186"/>
      <c r="F65" s="80"/>
      <c r="G65" s="81"/>
      <c r="H65" s="81"/>
      <c r="I65" s="81"/>
      <c r="J65" s="81"/>
      <c r="K65" s="81"/>
      <c r="L65" s="8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43" t="s">
        <v>130</v>
      </c>
      <c r="C66" s="144"/>
      <c r="D66" s="79" t="s">
        <v>131</v>
      </c>
      <c r="E66" s="81"/>
      <c r="F66" s="81"/>
      <c r="G66" s="81"/>
      <c r="H66" s="81"/>
      <c r="I66" s="81"/>
      <c r="J66" s="81"/>
      <c r="K66" s="81"/>
      <c r="L66" s="8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43" t="s">
        <v>984</v>
      </c>
      <c r="C67" s="144"/>
      <c r="D67" s="79" t="s">
        <v>1052</v>
      </c>
      <c r="E67" s="80"/>
      <c r="F67" s="80"/>
      <c r="G67" s="81"/>
      <c r="H67" s="81"/>
      <c r="I67" s="81"/>
      <c r="J67" s="81"/>
      <c r="K67" s="81"/>
      <c r="L67" s="8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43" t="s">
        <v>1053</v>
      </c>
      <c r="C68" s="144"/>
      <c r="D68" s="79" t="s">
        <v>1054</v>
      </c>
      <c r="E68" s="80"/>
      <c r="F68" s="80"/>
      <c r="G68" s="81"/>
      <c r="H68" s="81"/>
      <c r="I68" s="81"/>
      <c r="J68" s="81"/>
      <c r="K68" s="81"/>
      <c r="L68" s="8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43" t="s">
        <v>1055</v>
      </c>
      <c r="C69" s="144"/>
      <c r="D69" s="80" t="s">
        <v>135</v>
      </c>
      <c r="E69" s="80"/>
      <c r="F69" s="80"/>
      <c r="G69" s="81"/>
      <c r="H69" s="81"/>
      <c r="I69" s="81"/>
      <c r="J69" s="81"/>
      <c r="K69" s="81"/>
      <c r="L69" s="8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43"/>
      <c r="C70" s="144"/>
      <c r="D70" s="80"/>
      <c r="E70" s="80"/>
      <c r="F70" s="80"/>
      <c r="G70" s="81"/>
      <c r="H70" s="81"/>
      <c r="I70" s="81"/>
      <c r="J70" s="81"/>
      <c r="K70" s="81"/>
      <c r="L70" s="8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87"/>
      <c r="C71" s="1"/>
      <c r="D71" s="1"/>
      <c r="E71" s="1"/>
      <c r="F71" s="1"/>
      <c r="G71" s="1"/>
      <c r="H71" s="1"/>
      <c r="I71" s="1"/>
      <c r="J71" s="1"/>
      <c r="K71" s="1"/>
      <c r="L71" s="1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ht="15.75" customHeight="1">
      <c r="A72" s="1"/>
      <c r="B72" s="187"/>
      <c r="C72" s="1"/>
      <c r="D72" s="1"/>
      <c r="E72" s="1"/>
      <c r="F72" s="1"/>
      <c r="G72" s="1"/>
      <c r="H72" s="1"/>
      <c r="I72" s="1"/>
      <c r="J72" s="1"/>
      <c r="K72" s="1"/>
      <c r="L72" s="1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ht="15.75" customHeight="1">
      <c r="A73" s="1"/>
      <c r="B73" s="187"/>
      <c r="C73" s="1"/>
      <c r="D73" s="1"/>
      <c r="E73" s="1"/>
      <c r="F73" s="1"/>
      <c r="G73" s="1"/>
      <c r="H73" s="1"/>
      <c r="I73" s="1"/>
      <c r="J73" s="1"/>
      <c r="K73" s="1"/>
      <c r="L73" s="1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ht="15.75" customHeight="1">
      <c r="A74" s="1"/>
      <c r="B74" s="187"/>
      <c r="C74" s="1"/>
      <c r="D74" s="1"/>
      <c r="E74" s="1"/>
      <c r="F74" s="1"/>
      <c r="G74" s="1"/>
      <c r="H74" s="1"/>
      <c r="I74" s="1"/>
      <c r="J74" s="1"/>
      <c r="K74" s="1"/>
      <c r="L74" s="1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ht="15.75" customHeight="1">
      <c r="A75" s="1"/>
      <c r="B75" s="187"/>
      <c r="C75" s="1"/>
      <c r="D75" s="1"/>
      <c r="E75" s="1"/>
      <c r="F75" s="1"/>
      <c r="G75" s="1"/>
      <c r="H75" s="1"/>
      <c r="I75" s="1"/>
      <c r="J75" s="1"/>
      <c r="K75" s="1"/>
      <c r="L75" s="1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ht="15.75" customHeight="1">
      <c r="A76" s="1"/>
      <c r="B76" s="187"/>
      <c r="C76" s="1"/>
      <c r="D76" s="1"/>
      <c r="E76" s="1"/>
      <c r="F76" s="1"/>
      <c r="G76" s="1"/>
      <c r="H76" s="1"/>
      <c r="I76" s="1"/>
      <c r="J76" s="1"/>
      <c r="K76" s="1"/>
      <c r="L76" s="1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ht="15.75" customHeight="1">
      <c r="A77" s="1"/>
      <c r="B77" s="187"/>
      <c r="C77" s="1"/>
      <c r="D77" s="1"/>
      <c r="E77" s="1"/>
      <c r="F77" s="1"/>
      <c r="G77" s="1"/>
      <c r="H77" s="1"/>
      <c r="I77" s="1"/>
      <c r="J77" s="1"/>
      <c r="K77" s="1"/>
      <c r="L77" s="1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ht="15.75" customHeight="1">
      <c r="A78" s="1"/>
      <c r="B78" s="187"/>
      <c r="C78" s="1"/>
      <c r="D78" s="1"/>
      <c r="E78" s="1"/>
      <c r="F78" s="1"/>
      <c r="G78" s="1"/>
      <c r="H78" s="1"/>
      <c r="I78" s="1"/>
      <c r="J78" s="1"/>
      <c r="K78" s="1"/>
      <c r="L78" s="1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ht="15.75" customHeight="1">
      <c r="A79" s="1"/>
      <c r="B79" s="187"/>
      <c r="C79" s="1"/>
      <c r="D79" s="1"/>
      <c r="E79" s="1"/>
      <c r="F79" s="1"/>
      <c r="G79" s="1"/>
      <c r="H79" s="1"/>
      <c r="I79" s="1"/>
      <c r="J79" s="1"/>
      <c r="K79" s="1"/>
      <c r="L79" s="1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ht="15.75" customHeight="1">
      <c r="A80" s="1"/>
      <c r="B80" s="187"/>
      <c r="C80" s="1"/>
      <c r="D80" s="1"/>
      <c r="E80" s="1"/>
      <c r="F80" s="1"/>
      <c r="G80" s="1"/>
      <c r="H80" s="1"/>
      <c r="I80" s="1"/>
      <c r="J80" s="1"/>
      <c r="K80" s="1"/>
      <c r="L80" s="1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ht="15.75" customHeight="1">
      <c r="A81" s="1"/>
      <c r="B81" s="187"/>
      <c r="C81" s="1"/>
      <c r="D81" s="1"/>
      <c r="E81" s="1"/>
      <c r="F81" s="1"/>
      <c r="G81" s="1"/>
      <c r="H81" s="1"/>
      <c r="I81" s="1"/>
      <c r="J81" s="1"/>
      <c r="K81" s="1"/>
      <c r="L81" s="1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ht="15.75" customHeight="1">
      <c r="A82" s="1"/>
      <c r="B82" s="187"/>
      <c r="C82" s="1"/>
      <c r="D82" s="1"/>
      <c r="E82" s="1"/>
      <c r="F82" s="1"/>
      <c r="G82" s="1"/>
      <c r="H82" s="1"/>
      <c r="I82" s="1"/>
      <c r="J82" s="1"/>
      <c r="K82" s="1"/>
      <c r="L82" s="1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ht="15.75" customHeight="1">
      <c r="A83" s="1"/>
      <c r="B83" s="187"/>
      <c r="C83" s="1"/>
      <c r="D83" s="1"/>
      <c r="E83" s="1"/>
      <c r="F83" s="1"/>
      <c r="G83" s="1"/>
      <c r="H83" s="1"/>
      <c r="I83" s="1"/>
      <c r="J83" s="1"/>
      <c r="K83" s="1"/>
      <c r="L83" s="1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ht="15.75" customHeight="1">
      <c r="A84" s="1"/>
      <c r="B84" s="187"/>
      <c r="C84" s="1"/>
      <c r="D84" s="1"/>
      <c r="E84" s="1"/>
      <c r="F84" s="1"/>
      <c r="G84" s="1"/>
      <c r="H84" s="1"/>
      <c r="I84" s="1"/>
      <c r="J84" s="1"/>
      <c r="K84" s="1"/>
      <c r="L84" s="1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ht="15.75" customHeight="1">
      <c r="A85" s="1"/>
      <c r="B85" s="187"/>
      <c r="C85" s="1"/>
      <c r="D85" s="1"/>
      <c r="E85" s="1"/>
      <c r="F85" s="1"/>
      <c r="G85" s="1"/>
      <c r="H85" s="1"/>
      <c r="I85" s="1"/>
      <c r="J85" s="1"/>
      <c r="K85" s="1"/>
      <c r="L85" s="1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ht="15.75" customHeight="1">
      <c r="A86" s="1"/>
      <c r="B86" s="187"/>
      <c r="C86" s="1"/>
      <c r="D86" s="1"/>
      <c r="E86" s="1"/>
      <c r="F86" s="1"/>
      <c r="G86" s="1"/>
      <c r="H86" s="1"/>
      <c r="I86" s="1"/>
      <c r="J86" s="1"/>
      <c r="K86" s="1"/>
      <c r="L86" s="1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ht="15.75" customHeight="1">
      <c r="A87" s="1"/>
      <c r="B87" s="187"/>
      <c r="C87" s="1"/>
      <c r="D87" s="1"/>
      <c r="E87" s="1"/>
      <c r="F87" s="1"/>
      <c r="G87" s="1"/>
      <c r="H87" s="1"/>
      <c r="I87" s="1"/>
      <c r="J87" s="1"/>
      <c r="K87" s="1"/>
      <c r="L87" s="1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ht="15.75" customHeight="1">
      <c r="A88" s="1"/>
      <c r="B88" s="187"/>
      <c r="C88" s="1"/>
      <c r="D88" s="1"/>
      <c r="E88" s="1"/>
      <c r="F88" s="1"/>
      <c r="G88" s="1"/>
      <c r="H88" s="1"/>
      <c r="I88" s="1"/>
      <c r="J88" s="1"/>
      <c r="K88" s="1"/>
      <c r="L88" s="1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ht="15.75" customHeight="1">
      <c r="A89" s="1"/>
      <c r="B89" s="187"/>
      <c r="C89" s="1"/>
      <c r="D89" s="1"/>
      <c r="E89" s="1"/>
      <c r="F89" s="1"/>
      <c r="G89" s="1"/>
      <c r="H89" s="1"/>
      <c r="I89" s="1"/>
      <c r="J89" s="1"/>
      <c r="K89" s="1"/>
      <c r="L89" s="1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ht="15.75" customHeight="1">
      <c r="A90" s="1"/>
      <c r="B90" s="187"/>
      <c r="C90" s="1"/>
      <c r="D90" s="1"/>
      <c r="E90" s="1"/>
      <c r="F90" s="1"/>
      <c r="G90" s="1"/>
      <c r="H90" s="1"/>
      <c r="I90" s="1"/>
      <c r="J90" s="1"/>
      <c r="K90" s="1"/>
      <c r="L90" s="1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ht="15.75" customHeight="1">
      <c r="A91" s="1"/>
      <c r="B91" s="187"/>
      <c r="C91" s="1"/>
      <c r="D91" s="1"/>
      <c r="E91" s="1"/>
      <c r="F91" s="1"/>
      <c r="G91" s="1"/>
      <c r="H91" s="1"/>
      <c r="I91" s="1"/>
      <c r="J91" s="1"/>
      <c r="K91" s="1"/>
      <c r="L91" s="1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ht="15.75" customHeight="1">
      <c r="A92" s="1"/>
      <c r="B92" s="187"/>
      <c r="C92" s="1"/>
      <c r="D92" s="1"/>
      <c r="E92" s="1"/>
      <c r="F92" s="1"/>
      <c r="G92" s="1"/>
      <c r="H92" s="1"/>
      <c r="I92" s="1"/>
      <c r="J92" s="1"/>
      <c r="K92" s="1"/>
      <c r="L92" s="1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ht="15.75" customHeight="1">
      <c r="A93" s="1"/>
      <c r="B93" s="187"/>
      <c r="C93" s="1"/>
      <c r="D93" s="1"/>
      <c r="E93" s="1"/>
      <c r="F93" s="1"/>
      <c r="G93" s="1"/>
      <c r="H93" s="1"/>
      <c r="I93" s="1"/>
      <c r="J93" s="1"/>
      <c r="K93" s="1"/>
      <c r="L93" s="1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ht="15.75" customHeight="1">
      <c r="A94" s="1"/>
      <c r="B94" s="187"/>
      <c r="C94" s="1"/>
      <c r="D94" s="1"/>
      <c r="E94" s="1"/>
      <c r="F94" s="1"/>
      <c r="G94" s="1"/>
      <c r="H94" s="1"/>
      <c r="I94" s="1"/>
      <c r="J94" s="1"/>
      <c r="K94" s="1"/>
      <c r="L94" s="1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ht="15.75" customHeight="1">
      <c r="A95" s="1"/>
      <c r="B95" s="187"/>
      <c r="C95" s="1"/>
      <c r="D95" s="1"/>
      <c r="E95" s="1"/>
      <c r="F95" s="1"/>
      <c r="G95" s="1"/>
      <c r="H95" s="1"/>
      <c r="I95" s="1"/>
      <c r="J95" s="1"/>
      <c r="K95" s="1"/>
      <c r="L95" s="1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ht="15.75" customHeight="1">
      <c r="A96" s="1"/>
      <c r="B96" s="187"/>
      <c r="C96" s="1"/>
      <c r="D96" s="1"/>
      <c r="E96" s="1"/>
      <c r="F96" s="1"/>
      <c r="G96" s="1"/>
      <c r="H96" s="1"/>
      <c r="I96" s="1"/>
      <c r="J96" s="1"/>
      <c r="K96" s="1"/>
      <c r="L96" s="1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ht="15.75" customHeight="1">
      <c r="A97" s="1"/>
      <c r="B97" s="187"/>
      <c r="C97" s="1"/>
      <c r="D97" s="1"/>
      <c r="E97" s="1"/>
      <c r="F97" s="1"/>
      <c r="G97" s="1"/>
      <c r="H97" s="1"/>
      <c r="I97" s="1"/>
      <c r="J97" s="1"/>
      <c r="K97" s="1"/>
      <c r="L97" s="1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ht="15.75" customHeight="1">
      <c r="A98" s="1"/>
      <c r="B98" s="187"/>
      <c r="C98" s="1"/>
      <c r="D98" s="1"/>
      <c r="E98" s="1"/>
      <c r="F98" s="1"/>
      <c r="G98" s="1"/>
      <c r="H98" s="1"/>
      <c r="I98" s="1"/>
      <c r="J98" s="1"/>
      <c r="K98" s="1"/>
      <c r="L98" s="1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ht="15.75" customHeight="1">
      <c r="A99" s="1"/>
      <c r="B99" s="187"/>
      <c r="C99" s="1"/>
      <c r="D99" s="1"/>
      <c r="E99" s="1"/>
      <c r="F99" s="1"/>
      <c r="G99" s="1"/>
      <c r="H99" s="1"/>
      <c r="I99" s="1"/>
      <c r="J99" s="1"/>
      <c r="K99" s="1"/>
      <c r="L99" s="1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ht="15.75" customHeight="1">
      <c r="A100" s="1"/>
      <c r="B100" s="18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ht="15.75" customHeight="1">
      <c r="A101" s="1"/>
      <c r="B101" s="18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ht="15.75" customHeight="1">
      <c r="A102" s="1"/>
      <c r="B102" s="18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ht="15.75" customHeight="1">
      <c r="A103" s="1"/>
      <c r="B103" s="18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ht="15.75" customHeight="1">
      <c r="A104" s="1"/>
      <c r="B104" s="18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ht="15.75" customHeight="1">
      <c r="A105" s="1"/>
      <c r="B105" s="18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ht="15.75" customHeight="1">
      <c r="A106" s="1"/>
      <c r="B106" s="18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ht="15.75" customHeight="1">
      <c r="A107" s="1"/>
      <c r="B107" s="18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ht="15.75" customHeight="1">
      <c r="A108" s="1"/>
      <c r="B108" s="18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ht="15.75" customHeight="1">
      <c r="A109" s="1"/>
      <c r="B109" s="18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ht="15.75" customHeight="1">
      <c r="A110" s="1"/>
      <c r="B110" s="18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ht="15.75" customHeight="1">
      <c r="A111" s="1"/>
      <c r="B111" s="18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ht="15.75" customHeight="1">
      <c r="A112" s="1"/>
      <c r="B112" s="18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ht="15.75" customHeight="1">
      <c r="A113" s="1"/>
      <c r="B113" s="18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ht="15.75" customHeight="1">
      <c r="A114" s="1"/>
      <c r="B114" s="18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ht="15.75" customHeight="1">
      <c r="A115" s="1"/>
      <c r="B115" s="18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ht="15.75" customHeight="1">
      <c r="A116" s="1"/>
      <c r="B116" s="18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ht="15.75" customHeight="1">
      <c r="A117" s="1"/>
      <c r="B117" s="18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ht="15.75" customHeight="1">
      <c r="A118" s="1"/>
      <c r="B118" s="18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ht="15.75" customHeight="1">
      <c r="A119" s="1"/>
      <c r="B119" s="18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ht="15.75" customHeight="1">
      <c r="A120" s="1"/>
      <c r="B120" s="18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ht="15.75" customHeight="1">
      <c r="A121" s="1"/>
      <c r="B121" s="18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ht="15.75" customHeight="1">
      <c r="A122" s="1"/>
      <c r="B122" s="18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ht="15.75" customHeight="1">
      <c r="A123" s="1"/>
      <c r="B123" s="18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ht="15.75" customHeight="1">
      <c r="A124" s="1"/>
      <c r="B124" s="18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ht="15.75" customHeight="1">
      <c r="A125" s="1"/>
      <c r="B125" s="18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ht="15.75" customHeight="1">
      <c r="A126" s="1"/>
      <c r="B126" s="18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ht="15.75" customHeight="1">
      <c r="A127" s="1"/>
      <c r="B127" s="18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ht="15.75" customHeight="1">
      <c r="A128" s="1"/>
      <c r="B128" s="18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ht="15.75" customHeight="1">
      <c r="A129" s="1"/>
      <c r="B129" s="18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ht="15.75" customHeight="1">
      <c r="A130" s="1"/>
      <c r="B130" s="18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ht="15.75" customHeight="1">
      <c r="A131" s="1"/>
      <c r="B131" s="18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ht="15.75" customHeight="1">
      <c r="A132" s="1"/>
      <c r="B132" s="18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ht="15.75" customHeight="1">
      <c r="A133" s="1"/>
      <c r="B133" s="18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ht="15.75" customHeight="1">
      <c r="A134" s="1"/>
      <c r="B134" s="18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ht="15.75" customHeight="1">
      <c r="A135" s="1"/>
      <c r="B135" s="18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ht="15.75" customHeight="1">
      <c r="A136" s="1"/>
      <c r="B136" s="18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ht="15.75" customHeight="1">
      <c r="A137" s="1"/>
      <c r="B137" s="18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ht="15.75" customHeight="1">
      <c r="A138" s="1"/>
      <c r="B138" s="18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ht="15.75" customHeight="1">
      <c r="A139" s="1"/>
      <c r="B139" s="18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ht="15.75" customHeight="1">
      <c r="A140" s="1"/>
      <c r="B140" s="18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ht="15.75" customHeight="1">
      <c r="A141" s="1"/>
      <c r="B141" s="18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ht="15.75" customHeight="1">
      <c r="A142" s="1"/>
      <c r="B142" s="18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ht="15.75" customHeight="1">
      <c r="A143" s="1"/>
      <c r="B143" s="18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ht="15.75" customHeight="1">
      <c r="A144" s="1"/>
      <c r="B144" s="18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ht="15.75" customHeight="1">
      <c r="A145" s="1"/>
      <c r="B145" s="18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ht="15.75" customHeight="1">
      <c r="A146" s="1"/>
      <c r="B146" s="18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ht="15.75" customHeight="1">
      <c r="A147" s="1"/>
      <c r="B147" s="18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ht="15.75" customHeight="1">
      <c r="A148" s="1"/>
      <c r="B148" s="18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ht="15.75" customHeight="1">
      <c r="A149" s="1"/>
      <c r="B149" s="18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ht="15.75" customHeight="1">
      <c r="A150" s="1"/>
      <c r="B150" s="18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ht="15.75" customHeight="1">
      <c r="A151" s="1"/>
      <c r="B151" s="18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ht="15.75" customHeight="1">
      <c r="A152" s="1"/>
      <c r="B152" s="18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ht="15.75" customHeight="1">
      <c r="A153" s="1"/>
      <c r="B153" s="18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ht="15.75" customHeight="1">
      <c r="A154" s="1"/>
      <c r="B154" s="18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ht="15.75" customHeight="1">
      <c r="A155" s="1"/>
      <c r="B155" s="18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ht="15.75" customHeight="1">
      <c r="A156" s="1"/>
      <c r="B156" s="18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ht="15.75" customHeight="1">
      <c r="A157" s="1"/>
      <c r="B157" s="18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ht="15.75" customHeight="1">
      <c r="A158" s="1"/>
      <c r="B158" s="18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ht="15.75" customHeight="1">
      <c r="A159" s="1"/>
      <c r="B159" s="18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ht="15.75" customHeight="1">
      <c r="A160" s="1"/>
      <c r="B160" s="18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ht="15.75" customHeight="1">
      <c r="A161" s="1"/>
      <c r="B161" s="18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ht="15.75" customHeight="1">
      <c r="A162" s="1"/>
      <c r="B162" s="18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ht="15.75" customHeight="1">
      <c r="A163" s="1"/>
      <c r="B163" s="18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ht="15.75" customHeight="1">
      <c r="A164" s="1"/>
      <c r="B164" s="18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ht="15.75" customHeight="1">
      <c r="A165" s="1"/>
      <c r="B165" s="18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ht="15.75" customHeight="1">
      <c r="A166" s="1"/>
      <c r="B166" s="18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ht="15.75" customHeight="1">
      <c r="A167" s="1"/>
      <c r="B167" s="18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ht="15.75" customHeight="1">
      <c r="A168" s="1"/>
      <c r="B168" s="18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ht="15.75" customHeight="1">
      <c r="A169" s="1"/>
      <c r="B169" s="18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ht="15.75" customHeight="1">
      <c r="A170" s="1"/>
      <c r="B170" s="18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ht="15.75" customHeight="1">
      <c r="A171" s="1"/>
      <c r="B171" s="18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ht="15.75" customHeight="1">
      <c r="A172" s="1"/>
      <c r="B172" s="18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ht="15.75" customHeight="1">
      <c r="A173" s="1"/>
      <c r="B173" s="18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ht="15.75" customHeight="1">
      <c r="A174" s="1"/>
      <c r="B174" s="18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ht="15.75" customHeight="1">
      <c r="A175" s="1"/>
      <c r="B175" s="18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ht="15.75" customHeight="1">
      <c r="A176" s="1"/>
      <c r="B176" s="18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ht="15.75" customHeight="1">
      <c r="A177" s="1"/>
      <c r="B177" s="18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ht="15.75" customHeight="1">
      <c r="A178" s="1"/>
      <c r="B178" s="18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ht="15.75" customHeight="1">
      <c r="A179" s="1"/>
      <c r="B179" s="18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ht="15.75" customHeight="1">
      <c r="A180" s="1"/>
      <c r="B180" s="18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ht="15.75" customHeight="1">
      <c r="A181" s="1"/>
      <c r="B181" s="18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ht="15.75" customHeight="1">
      <c r="A182" s="1"/>
      <c r="B182" s="18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ht="15.75" customHeight="1">
      <c r="A183" s="1"/>
      <c r="B183" s="18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ht="15.75" customHeight="1">
      <c r="A184" s="1"/>
      <c r="B184" s="18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ht="15.75" customHeight="1">
      <c r="A185" s="1"/>
      <c r="B185" s="18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ht="15.75" customHeight="1">
      <c r="A186" s="1"/>
      <c r="B186" s="18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ht="15.75" customHeight="1">
      <c r="A187" s="1"/>
      <c r="B187" s="18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ht="15.75" customHeight="1">
      <c r="A188" s="1"/>
      <c r="B188" s="18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ht="15.75" customHeight="1">
      <c r="A189" s="1"/>
      <c r="B189" s="18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ht="15.75" customHeight="1">
      <c r="A190" s="1"/>
      <c r="B190" s="18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ht="15.75" customHeight="1">
      <c r="A191" s="1"/>
      <c r="B191" s="18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ht="15.75" customHeight="1">
      <c r="A192" s="1"/>
      <c r="B192" s="18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ht="15.75" customHeight="1">
      <c r="A193" s="1"/>
      <c r="B193" s="18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ht="15.75" customHeight="1">
      <c r="A194" s="1"/>
      <c r="B194" s="18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ht="15.75" customHeight="1">
      <c r="A195" s="1"/>
      <c r="B195" s="18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ht="15.75" customHeight="1">
      <c r="A196" s="1"/>
      <c r="B196" s="18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ht="15.75" customHeight="1">
      <c r="A197" s="1"/>
      <c r="B197" s="18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ht="15.75" customHeight="1">
      <c r="A198" s="1"/>
      <c r="B198" s="18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ht="15.75" customHeight="1">
      <c r="A199" s="1"/>
      <c r="B199" s="18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ht="15.75" customHeight="1">
      <c r="A200" s="1"/>
      <c r="B200" s="18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ht="15.75" customHeight="1">
      <c r="A201" s="1"/>
      <c r="B201" s="18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ht="15.75" customHeight="1">
      <c r="A202" s="1"/>
      <c r="B202" s="18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ht="15.75" customHeight="1">
      <c r="A203" s="1"/>
      <c r="B203" s="18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ht="15.75" customHeight="1">
      <c r="A204" s="1"/>
      <c r="B204" s="18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ht="15.75" customHeight="1">
      <c r="A205" s="1"/>
      <c r="B205" s="18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ht="15.75" customHeight="1">
      <c r="A206" s="1"/>
      <c r="B206" s="18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ht="15.75" customHeight="1">
      <c r="A207" s="1"/>
      <c r="B207" s="18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ht="15.75" customHeight="1">
      <c r="A208" s="1"/>
      <c r="B208" s="18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ht="15.75" customHeight="1">
      <c r="A209" s="1"/>
      <c r="B209" s="18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ht="15.75" customHeight="1">
      <c r="A210" s="1"/>
      <c r="B210" s="18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ht="15.75" customHeight="1">
      <c r="A211" s="1"/>
      <c r="B211" s="18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ht="15.75" customHeight="1">
      <c r="A212" s="1"/>
      <c r="B212" s="18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ht="15.75" customHeight="1">
      <c r="A213" s="1"/>
      <c r="B213" s="18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ht="15.75" customHeight="1">
      <c r="A214" s="1"/>
      <c r="B214" s="18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ht="15.75" customHeight="1">
      <c r="A215" s="1"/>
      <c r="B215" s="18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ht="15.75" customHeight="1">
      <c r="A216" s="1"/>
      <c r="B216" s="18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ht="15.75" customHeight="1">
      <c r="A217" s="1"/>
      <c r="B217" s="18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ht="15.75" customHeight="1">
      <c r="A218" s="1"/>
      <c r="B218" s="18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ht="15.75" customHeight="1">
      <c r="A219" s="1"/>
      <c r="B219" s="18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ht="15.75" customHeight="1">
      <c r="A220" s="1"/>
      <c r="B220" s="18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ht="15.75" customHeight="1">
      <c r="A221" s="1"/>
      <c r="B221" s="18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ht="15.75" customHeight="1">
      <c r="A222" s="1"/>
      <c r="B222" s="18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ht="15.75" customHeight="1">
      <c r="A223" s="1"/>
      <c r="B223" s="18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ht="15.75" customHeight="1">
      <c r="A224" s="1"/>
      <c r="B224" s="18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ht="15.75" customHeight="1">
      <c r="A225" s="1"/>
      <c r="B225" s="18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ht="15.75" customHeight="1">
      <c r="A226" s="1"/>
      <c r="B226" s="18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ht="15.75" customHeight="1">
      <c r="A227" s="1"/>
      <c r="B227" s="18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ht="15.75" customHeight="1">
      <c r="A228" s="1"/>
      <c r="B228" s="18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ht="15.75" customHeight="1">
      <c r="A229" s="1"/>
      <c r="B229" s="18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ht="15.75" customHeight="1">
      <c r="A230" s="1"/>
      <c r="B230" s="18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ht="15.75" customHeight="1">
      <c r="A231" s="1"/>
      <c r="B231" s="18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 ht="15.75" customHeight="1">
      <c r="A232" s="1"/>
      <c r="B232" s="18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ht="15.75" customHeight="1">
      <c r="A233" s="1"/>
      <c r="B233" s="18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ht="15.75" customHeight="1">
      <c r="A234" s="1"/>
      <c r="B234" s="18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ht="15.75" customHeight="1">
      <c r="A235" s="1"/>
      <c r="B235" s="18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ht="15.75" customHeight="1">
      <c r="A236" s="1"/>
      <c r="B236" s="18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ht="15.75" customHeight="1">
      <c r="A237" s="1"/>
      <c r="B237" s="18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ht="15.75" customHeight="1">
      <c r="A238" s="1"/>
      <c r="B238" s="18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ht="15.75" customHeight="1">
      <c r="A239" s="1"/>
      <c r="B239" s="18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ht="15.75" customHeight="1">
      <c r="A240" s="1"/>
      <c r="B240" s="18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ht="15.75" customHeight="1">
      <c r="A241" s="1"/>
      <c r="B241" s="18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ht="15.75" customHeight="1">
      <c r="A242" s="1"/>
      <c r="B242" s="18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ht="15.75" customHeight="1">
      <c r="A243" s="1"/>
      <c r="B243" s="18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ht="15.75" customHeight="1">
      <c r="A244" s="1"/>
      <c r="B244" s="18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ht="15.75" customHeight="1">
      <c r="A245" s="1"/>
      <c r="B245" s="18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ht="15.75" customHeight="1">
      <c r="A246" s="1"/>
      <c r="B246" s="18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ht="15.75" customHeight="1">
      <c r="A247" s="1"/>
      <c r="B247" s="18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ht="15.75" customHeight="1">
      <c r="A248" s="1"/>
      <c r="B248" s="18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ht="15.75" customHeight="1">
      <c r="A249" s="1"/>
      <c r="B249" s="18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ht="15.75" customHeight="1">
      <c r="A250" s="1"/>
      <c r="B250" s="18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ht="15.75" customHeight="1">
      <c r="A251" s="1"/>
      <c r="B251" s="18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ht="15.75" customHeight="1">
      <c r="A252" s="1"/>
      <c r="B252" s="18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ht="15.75" customHeight="1">
      <c r="A253" s="1"/>
      <c r="B253" s="18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ht="15.75" customHeight="1">
      <c r="A254" s="1"/>
      <c r="B254" s="18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ht="15.75" customHeight="1">
      <c r="A255" s="1"/>
      <c r="B255" s="18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ht="15.75" customHeight="1">
      <c r="A256" s="1"/>
      <c r="B256" s="18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ht="15.75" customHeight="1">
      <c r="A257" s="1"/>
      <c r="B257" s="18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ht="15.75" customHeight="1">
      <c r="A258" s="1"/>
      <c r="B258" s="18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ht="15.75" customHeight="1">
      <c r="A259" s="1"/>
      <c r="B259" s="18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ht="15.75" customHeight="1">
      <c r="A260" s="1"/>
      <c r="B260" s="18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ht="15.75" customHeight="1">
      <c r="A261" s="1"/>
      <c r="B261" s="18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ht="15.75" customHeight="1">
      <c r="A262" s="1"/>
      <c r="B262" s="18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ht="15.75" customHeight="1">
      <c r="A263" s="1"/>
      <c r="B263" s="18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ht="15.75" customHeight="1">
      <c r="A264" s="1"/>
      <c r="B264" s="18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ht="15.75" customHeight="1">
      <c r="A265" s="1"/>
      <c r="B265" s="18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 ht="15.75" customHeight="1">
      <c r="A266" s="1"/>
      <c r="B266" s="18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 ht="15.75" customHeight="1">
      <c r="A267" s="1"/>
      <c r="B267" s="18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 ht="15.75" customHeight="1">
      <c r="A268" s="1"/>
      <c r="B268" s="18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 ht="15.75" customHeight="1">
      <c r="A269" s="1"/>
      <c r="B269" s="18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 ht="15.75" customHeight="1">
      <c r="A270" s="1"/>
      <c r="B270" s="18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 ht="15.75" customHeight="1">
      <c r="A271" s="1"/>
      <c r="B271" s="18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 ht="15.75" customHeight="1">
      <c r="A272" s="1"/>
      <c r="B272" s="18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 ht="15.75" customHeight="1">
      <c r="A273" s="1"/>
      <c r="B273" s="18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 ht="15.75" customHeight="1">
      <c r="A274" s="1"/>
      <c r="B274" s="18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 ht="15.75" customHeight="1">
      <c r="A275" s="1"/>
      <c r="B275" s="18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 ht="15.75" customHeight="1">
      <c r="A276" s="1"/>
      <c r="B276" s="18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 ht="15.75" customHeight="1">
      <c r="A277" s="1"/>
      <c r="B277" s="18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 ht="15.75" customHeight="1">
      <c r="A278" s="1"/>
      <c r="B278" s="18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 ht="15.75" customHeight="1">
      <c r="A279" s="1"/>
      <c r="B279" s="18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 ht="15.75" customHeight="1">
      <c r="A280" s="1"/>
      <c r="B280" s="18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 ht="15.75" customHeight="1">
      <c r="A281" s="1"/>
      <c r="B281" s="18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 ht="15.75" customHeight="1">
      <c r="A282" s="1"/>
      <c r="B282" s="18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 ht="15.75" customHeight="1">
      <c r="A283" s="1"/>
      <c r="B283" s="18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 ht="15.75" customHeight="1">
      <c r="A284" s="1"/>
      <c r="B284" s="18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 ht="15.75" customHeight="1">
      <c r="A285" s="1"/>
      <c r="B285" s="18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 ht="15.75" customHeight="1">
      <c r="A286" s="1"/>
      <c r="B286" s="18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 ht="15.75" customHeight="1">
      <c r="A287" s="1"/>
      <c r="B287" s="18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 ht="15.75" customHeight="1">
      <c r="A288" s="1"/>
      <c r="B288" s="18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 ht="15.75" customHeight="1">
      <c r="A289" s="1"/>
      <c r="B289" s="18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 ht="15.75" customHeight="1">
      <c r="A290" s="1"/>
      <c r="B290" s="18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 ht="15.75" customHeight="1">
      <c r="A291" s="1"/>
      <c r="B291" s="18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 ht="15.75" customHeight="1">
      <c r="A292" s="1"/>
      <c r="B292" s="18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 ht="15.75" customHeight="1">
      <c r="A293" s="1"/>
      <c r="B293" s="18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 ht="15.75" customHeight="1">
      <c r="A294" s="1"/>
      <c r="B294" s="18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 ht="15.75" customHeight="1">
      <c r="A295" s="1"/>
      <c r="B295" s="18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 ht="15.75" customHeight="1">
      <c r="A296" s="1"/>
      <c r="B296" s="18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 ht="15.75" customHeight="1">
      <c r="A297" s="1"/>
      <c r="B297" s="18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 ht="15.75" customHeight="1">
      <c r="A298" s="1"/>
      <c r="B298" s="18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 ht="15.75" customHeight="1">
      <c r="A299" s="1"/>
      <c r="B299" s="18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 ht="15.75" customHeight="1">
      <c r="A300" s="1"/>
      <c r="B300" s="18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 ht="15.75" customHeight="1">
      <c r="A301" s="1"/>
      <c r="B301" s="18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 ht="15.75" customHeight="1">
      <c r="A302" s="1"/>
      <c r="B302" s="18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 ht="15.75" customHeight="1">
      <c r="A303" s="1"/>
      <c r="B303" s="18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 ht="15.75" customHeight="1">
      <c r="A304" s="1"/>
      <c r="B304" s="18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 ht="15.75" customHeight="1">
      <c r="A305" s="1"/>
      <c r="B305" s="18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 ht="15.75" customHeight="1">
      <c r="A306" s="1"/>
      <c r="B306" s="18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 ht="15.75" customHeight="1">
      <c r="A307" s="1"/>
      <c r="B307" s="18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 ht="15.75" customHeight="1">
      <c r="A308" s="1"/>
      <c r="B308" s="18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 ht="15.75" customHeight="1">
      <c r="A309" s="1"/>
      <c r="B309" s="18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 ht="15.75" customHeight="1">
      <c r="A310" s="1"/>
      <c r="B310" s="18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 ht="15.75" customHeight="1">
      <c r="A311" s="1"/>
      <c r="B311" s="18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 ht="15.75" customHeight="1">
      <c r="A312" s="1"/>
      <c r="B312" s="18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 ht="15.75" customHeight="1">
      <c r="A313" s="1"/>
      <c r="B313" s="18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 ht="15.75" customHeight="1">
      <c r="A314" s="1"/>
      <c r="B314" s="18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 ht="15.75" customHeight="1">
      <c r="A315" s="1"/>
      <c r="B315" s="18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 ht="15.75" customHeight="1">
      <c r="A316" s="1"/>
      <c r="B316" s="18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 ht="15.75" customHeight="1">
      <c r="A317" s="1"/>
      <c r="B317" s="18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 ht="15.75" customHeight="1">
      <c r="A318" s="1"/>
      <c r="B318" s="18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 ht="15.75" customHeight="1">
      <c r="A319" s="1"/>
      <c r="B319" s="18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 ht="15.75" customHeight="1">
      <c r="A320" s="1"/>
      <c r="B320" s="18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 ht="15.75" customHeight="1">
      <c r="A321" s="1"/>
      <c r="B321" s="18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 ht="15.75" customHeight="1">
      <c r="A322" s="1"/>
      <c r="B322" s="18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 ht="15.75" customHeight="1">
      <c r="A323" s="1"/>
      <c r="B323" s="18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 ht="15.75" customHeight="1">
      <c r="A324" s="1"/>
      <c r="B324" s="18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 ht="15.75" customHeight="1">
      <c r="A325" s="1"/>
      <c r="B325" s="18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 ht="15.75" customHeight="1">
      <c r="A326" s="1"/>
      <c r="B326" s="18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 ht="15.75" customHeight="1">
      <c r="A327" s="1"/>
      <c r="B327" s="18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 ht="15.75" customHeight="1">
      <c r="A328" s="1"/>
      <c r="B328" s="18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 ht="15.75" customHeight="1">
      <c r="A329" s="1"/>
      <c r="B329" s="18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 ht="15.75" customHeight="1">
      <c r="A330" s="1"/>
      <c r="B330" s="18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 ht="15.75" customHeight="1">
      <c r="A331" s="1"/>
      <c r="B331" s="18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 ht="15.75" customHeight="1">
      <c r="A332" s="1"/>
      <c r="B332" s="18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 ht="15.75" customHeight="1">
      <c r="A333" s="1"/>
      <c r="B333" s="18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 ht="15.75" customHeight="1">
      <c r="A334" s="1"/>
      <c r="B334" s="18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 ht="15.75" customHeight="1">
      <c r="A335" s="1"/>
      <c r="B335" s="18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 ht="15.75" customHeight="1">
      <c r="A336" s="1"/>
      <c r="B336" s="18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 ht="15.75" customHeight="1">
      <c r="A337" s="1"/>
      <c r="B337" s="18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 ht="15.75" customHeight="1">
      <c r="A338" s="1"/>
      <c r="B338" s="18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 ht="15.75" customHeight="1">
      <c r="A339" s="1"/>
      <c r="B339" s="18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 ht="15.75" customHeight="1">
      <c r="A340" s="1"/>
      <c r="B340" s="18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 ht="15.75" customHeight="1">
      <c r="A341" s="1"/>
      <c r="B341" s="18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 ht="15.75" customHeight="1">
      <c r="A342" s="1"/>
      <c r="B342" s="18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 ht="15.75" customHeight="1">
      <c r="A343" s="1"/>
      <c r="B343" s="18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 ht="15.75" customHeight="1">
      <c r="A344" s="1"/>
      <c r="B344" s="18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 ht="15.75" customHeight="1">
      <c r="A345" s="1"/>
      <c r="B345" s="18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 ht="15.75" customHeight="1">
      <c r="A346" s="1"/>
      <c r="B346" s="18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 ht="15.75" customHeight="1">
      <c r="A347" s="1"/>
      <c r="B347" s="18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 ht="15.75" customHeight="1">
      <c r="A348" s="1"/>
      <c r="B348" s="18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 ht="15.75" customHeight="1">
      <c r="A349" s="1"/>
      <c r="B349" s="18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 ht="15.75" customHeight="1">
      <c r="A350" s="1"/>
      <c r="B350" s="18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 ht="15.75" customHeight="1">
      <c r="A351" s="1"/>
      <c r="B351" s="18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 ht="15.75" customHeight="1">
      <c r="A352" s="1"/>
      <c r="B352" s="18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 ht="15.75" customHeight="1">
      <c r="A353" s="1"/>
      <c r="B353" s="18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 ht="15.75" customHeight="1">
      <c r="A354" s="1"/>
      <c r="B354" s="18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 ht="15.75" customHeight="1">
      <c r="A355" s="1"/>
      <c r="B355" s="18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 ht="15.75" customHeight="1">
      <c r="A356" s="1"/>
      <c r="B356" s="18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 ht="15.75" customHeight="1">
      <c r="A357" s="1"/>
      <c r="B357" s="18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 ht="15.75" customHeight="1">
      <c r="A358" s="1"/>
      <c r="B358" s="18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 ht="15.75" customHeight="1">
      <c r="A359" s="1"/>
      <c r="B359" s="18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 ht="15.75" customHeight="1">
      <c r="A360" s="1"/>
      <c r="B360" s="18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 ht="15.75" customHeight="1">
      <c r="A361" s="1"/>
      <c r="B361" s="18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 ht="15.75" customHeight="1">
      <c r="A362" s="1"/>
      <c r="B362" s="18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 ht="15.75" customHeight="1">
      <c r="A363" s="1"/>
      <c r="B363" s="18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 ht="15.75" customHeight="1">
      <c r="A364" s="1"/>
      <c r="B364" s="18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 ht="15.75" customHeight="1">
      <c r="A365" s="1"/>
      <c r="B365" s="18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 ht="15.75" customHeight="1">
      <c r="A366" s="1"/>
      <c r="B366" s="18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 ht="15.75" customHeight="1">
      <c r="A367" s="1"/>
      <c r="B367" s="18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 ht="15.75" customHeight="1">
      <c r="A368" s="1"/>
      <c r="B368" s="18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 ht="15.75" customHeight="1">
      <c r="A369" s="1"/>
      <c r="B369" s="18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 ht="15.75" customHeight="1">
      <c r="A370" s="1"/>
      <c r="B370" s="18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 ht="15.75" customHeight="1">
      <c r="A371" s="1"/>
      <c r="B371" s="18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 ht="15.75" customHeight="1">
      <c r="A372" s="1"/>
      <c r="B372" s="18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 ht="15.75" customHeight="1">
      <c r="A373" s="1"/>
      <c r="B373" s="18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 ht="15.75" customHeight="1">
      <c r="A374" s="1"/>
      <c r="B374" s="18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 ht="15.75" customHeight="1">
      <c r="A375" s="1"/>
      <c r="B375" s="18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 ht="15.75" customHeight="1">
      <c r="A376" s="1"/>
      <c r="B376" s="18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 ht="15.75" customHeight="1">
      <c r="A377" s="1"/>
      <c r="B377" s="18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 ht="15.75" customHeight="1">
      <c r="A378" s="1"/>
      <c r="B378" s="18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 ht="15.75" customHeight="1">
      <c r="A379" s="1"/>
      <c r="B379" s="18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 ht="15.75" customHeight="1">
      <c r="A380" s="1"/>
      <c r="B380" s="18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 ht="15.75" customHeight="1">
      <c r="A381" s="1"/>
      <c r="B381" s="18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 ht="15.75" customHeight="1">
      <c r="A382" s="1"/>
      <c r="B382" s="18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 ht="15.75" customHeight="1">
      <c r="A383" s="1"/>
      <c r="B383" s="18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 ht="15.75" customHeight="1">
      <c r="A384" s="1"/>
      <c r="B384" s="18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 ht="15.75" customHeight="1">
      <c r="A385" s="1"/>
      <c r="B385" s="18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 ht="15.75" customHeight="1">
      <c r="A386" s="1"/>
      <c r="B386" s="18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 ht="15.75" customHeight="1">
      <c r="A387" s="1"/>
      <c r="B387" s="18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 ht="15.75" customHeight="1">
      <c r="A388" s="1"/>
      <c r="B388" s="18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 ht="15.75" customHeight="1">
      <c r="A389" s="1"/>
      <c r="B389" s="18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 ht="15.75" customHeight="1">
      <c r="A390" s="1"/>
      <c r="B390" s="18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 ht="15.75" customHeight="1">
      <c r="A391" s="1"/>
      <c r="B391" s="18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 ht="15.75" customHeight="1">
      <c r="A392" s="1"/>
      <c r="B392" s="18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 ht="15.75" customHeight="1">
      <c r="A393" s="1"/>
      <c r="B393" s="18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 ht="15.75" customHeight="1">
      <c r="A394" s="1"/>
      <c r="B394" s="18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 ht="15.75" customHeight="1">
      <c r="A395" s="1"/>
      <c r="B395" s="18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 ht="15.75" customHeight="1">
      <c r="A396" s="1"/>
      <c r="B396" s="18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 ht="15.75" customHeight="1">
      <c r="A397" s="1"/>
      <c r="B397" s="18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 ht="15.75" customHeight="1">
      <c r="A398" s="1"/>
      <c r="B398" s="18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 ht="15.75" customHeight="1">
      <c r="A399" s="1"/>
      <c r="B399" s="18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 ht="15.75" customHeight="1">
      <c r="A400" s="1"/>
      <c r="B400" s="18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 ht="15.75" customHeight="1">
      <c r="A401" s="1"/>
      <c r="B401" s="18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 ht="15.75" customHeight="1">
      <c r="A402" s="1"/>
      <c r="B402" s="18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 ht="15.75" customHeight="1">
      <c r="A403" s="1"/>
      <c r="B403" s="18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 ht="15.75" customHeight="1">
      <c r="A404" s="1"/>
      <c r="B404" s="18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 ht="15.75" customHeight="1">
      <c r="A405" s="1"/>
      <c r="B405" s="18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 ht="15.75" customHeight="1">
      <c r="A406" s="1"/>
      <c r="B406" s="18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 ht="15.75" customHeight="1">
      <c r="A407" s="1"/>
      <c r="B407" s="18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 ht="15.75" customHeight="1">
      <c r="A408" s="1"/>
      <c r="B408" s="18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 ht="15.75" customHeight="1">
      <c r="A409" s="1"/>
      <c r="B409" s="18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 ht="15.75" customHeight="1">
      <c r="A410" s="1"/>
      <c r="B410" s="18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 ht="15.75" customHeight="1">
      <c r="A411" s="1"/>
      <c r="B411" s="18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 ht="15.75" customHeight="1">
      <c r="A412" s="1"/>
      <c r="B412" s="18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 ht="15.75" customHeight="1">
      <c r="A413" s="1"/>
      <c r="B413" s="18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 ht="15.75" customHeight="1">
      <c r="A414" s="1"/>
      <c r="B414" s="18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 ht="15.75" customHeight="1">
      <c r="A415" s="1"/>
      <c r="B415" s="18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 ht="15.75" customHeight="1">
      <c r="A416" s="1"/>
      <c r="B416" s="18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 ht="15.75" customHeight="1">
      <c r="A417" s="1"/>
      <c r="B417" s="18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 ht="15.75" customHeight="1">
      <c r="A418" s="1"/>
      <c r="B418" s="18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 ht="15.75" customHeight="1">
      <c r="A419" s="1"/>
      <c r="B419" s="18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 ht="15.75" customHeight="1">
      <c r="A420" s="1"/>
      <c r="B420" s="18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 ht="15.75" customHeight="1">
      <c r="A421" s="1"/>
      <c r="B421" s="18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 ht="15.75" customHeight="1">
      <c r="A422" s="1"/>
      <c r="B422" s="18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 ht="15.75" customHeight="1">
      <c r="A423" s="1"/>
      <c r="B423" s="18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 ht="15.75" customHeight="1">
      <c r="A424" s="1"/>
      <c r="B424" s="18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 ht="15.75" customHeight="1">
      <c r="A425" s="1"/>
      <c r="B425" s="18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 ht="15.75" customHeight="1">
      <c r="A426" s="1"/>
      <c r="B426" s="18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 ht="15.75" customHeight="1">
      <c r="A427" s="1"/>
      <c r="B427" s="18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 ht="15.75" customHeight="1">
      <c r="A428" s="1"/>
      <c r="B428" s="18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 ht="15.75" customHeight="1">
      <c r="A429" s="1"/>
      <c r="B429" s="18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 ht="15.75" customHeight="1">
      <c r="A430" s="1"/>
      <c r="B430" s="18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 ht="15.75" customHeight="1">
      <c r="A431" s="1"/>
      <c r="B431" s="18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 ht="15.75" customHeight="1">
      <c r="A432" s="1"/>
      <c r="B432" s="18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 ht="15.75" customHeight="1">
      <c r="A433" s="1"/>
      <c r="B433" s="18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 ht="15.75" customHeight="1">
      <c r="A434" s="1"/>
      <c r="B434" s="18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 ht="15.75" customHeight="1">
      <c r="A435" s="1"/>
      <c r="B435" s="18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 ht="15.75" customHeight="1">
      <c r="A436" s="1"/>
      <c r="B436" s="18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 ht="15.75" customHeight="1">
      <c r="A437" s="1"/>
      <c r="B437" s="18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 ht="15.75" customHeight="1">
      <c r="A438" s="1"/>
      <c r="B438" s="18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 ht="15.75" customHeight="1">
      <c r="A439" s="1"/>
      <c r="B439" s="18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 ht="15.75" customHeight="1">
      <c r="A440" s="1"/>
      <c r="B440" s="18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 ht="15.75" customHeight="1">
      <c r="A441" s="1"/>
      <c r="B441" s="18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 ht="15.75" customHeight="1">
      <c r="A442" s="1"/>
      <c r="B442" s="18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 ht="15.75" customHeight="1">
      <c r="A443" s="1"/>
      <c r="B443" s="18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 ht="15.75" customHeight="1">
      <c r="A444" s="1"/>
      <c r="B444" s="18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 ht="15.75" customHeight="1">
      <c r="A445" s="1"/>
      <c r="B445" s="18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 ht="15.75" customHeight="1">
      <c r="A446" s="1"/>
      <c r="B446" s="18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 ht="15.75" customHeight="1">
      <c r="A447" s="1"/>
      <c r="B447" s="18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 ht="15.75" customHeight="1">
      <c r="A448" s="1"/>
      <c r="B448" s="18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 ht="15.75" customHeight="1">
      <c r="A449" s="1"/>
      <c r="B449" s="18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 ht="15.75" customHeight="1">
      <c r="A450" s="1"/>
      <c r="B450" s="18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 ht="15.75" customHeight="1">
      <c r="A451" s="1"/>
      <c r="B451" s="18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 ht="15.75" customHeight="1">
      <c r="A452" s="1"/>
      <c r="B452" s="18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 ht="15.75" customHeight="1">
      <c r="A453" s="1"/>
      <c r="B453" s="18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 ht="15.75" customHeight="1">
      <c r="A454" s="1"/>
      <c r="B454" s="18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 ht="15.75" customHeight="1">
      <c r="A455" s="1"/>
      <c r="B455" s="18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 ht="15.75" customHeight="1">
      <c r="A456" s="1"/>
      <c r="B456" s="18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 ht="15.75" customHeight="1">
      <c r="A457" s="1"/>
      <c r="B457" s="18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 ht="15.75" customHeight="1">
      <c r="A458" s="1"/>
      <c r="B458" s="18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 ht="15.75" customHeight="1">
      <c r="A459" s="1"/>
      <c r="B459" s="18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 ht="15.75" customHeight="1">
      <c r="A460" s="1"/>
      <c r="B460" s="18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 ht="15.75" customHeight="1">
      <c r="A461" s="1"/>
      <c r="B461" s="18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 ht="15.75" customHeight="1">
      <c r="A462" s="1"/>
      <c r="B462" s="18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 ht="15.75" customHeight="1">
      <c r="A463" s="1"/>
      <c r="B463" s="18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 ht="15.75" customHeight="1">
      <c r="A464" s="1"/>
      <c r="B464" s="18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 ht="15.75" customHeight="1">
      <c r="A465" s="1"/>
      <c r="B465" s="18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 ht="15.75" customHeight="1">
      <c r="A466" s="1"/>
      <c r="B466" s="18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 ht="15.75" customHeight="1">
      <c r="A467" s="1"/>
      <c r="B467" s="18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 ht="15.75" customHeight="1">
      <c r="A468" s="1"/>
      <c r="B468" s="18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 ht="15.75" customHeight="1">
      <c r="A469" s="1"/>
      <c r="B469" s="18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 ht="15.75" customHeight="1">
      <c r="A470" s="1"/>
      <c r="B470" s="18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 ht="15.75" customHeight="1">
      <c r="A471" s="1"/>
      <c r="B471" s="18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 ht="15.75" customHeight="1">
      <c r="A472" s="1"/>
      <c r="B472" s="18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 ht="15.75" customHeight="1">
      <c r="A473" s="1"/>
      <c r="B473" s="18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 ht="15.75" customHeight="1">
      <c r="A474" s="1"/>
      <c r="B474" s="18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 ht="15.75" customHeight="1">
      <c r="A475" s="1"/>
      <c r="B475" s="18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 ht="15.75" customHeight="1">
      <c r="A476" s="1"/>
      <c r="B476" s="18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 ht="15.75" customHeight="1">
      <c r="A477" s="1"/>
      <c r="B477" s="18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 ht="15.75" customHeight="1">
      <c r="A478" s="1"/>
      <c r="B478" s="18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 ht="15.75" customHeight="1">
      <c r="A479" s="1"/>
      <c r="B479" s="18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 ht="15.75" customHeight="1">
      <c r="A480" s="1"/>
      <c r="B480" s="18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 ht="15.75" customHeight="1">
      <c r="A481" s="1"/>
      <c r="B481" s="18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 ht="15.75" customHeight="1">
      <c r="A482" s="1"/>
      <c r="B482" s="18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 ht="15.75" customHeight="1">
      <c r="A483" s="1"/>
      <c r="B483" s="18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 ht="15.75" customHeight="1">
      <c r="A484" s="1"/>
      <c r="B484" s="18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 ht="15.75" customHeight="1">
      <c r="A485" s="1"/>
      <c r="B485" s="18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 ht="15.75" customHeight="1">
      <c r="A486" s="1"/>
      <c r="B486" s="18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 ht="15.75" customHeight="1">
      <c r="A487" s="1"/>
      <c r="B487" s="18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 ht="15.75" customHeight="1">
      <c r="A488" s="1"/>
      <c r="B488" s="18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 ht="15.75" customHeight="1">
      <c r="A489" s="1"/>
      <c r="B489" s="18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 ht="15.75" customHeight="1">
      <c r="A490" s="1"/>
      <c r="B490" s="18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 ht="15.75" customHeight="1">
      <c r="A491" s="1"/>
      <c r="B491" s="18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 ht="15.75" customHeight="1">
      <c r="A492" s="1"/>
      <c r="B492" s="18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 ht="15.75" customHeight="1">
      <c r="A493" s="1"/>
      <c r="B493" s="18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 ht="15.75" customHeight="1">
      <c r="A494" s="1"/>
      <c r="B494" s="18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 ht="15.75" customHeight="1">
      <c r="A495" s="1"/>
      <c r="B495" s="18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 ht="15.75" customHeight="1">
      <c r="A496" s="1"/>
      <c r="B496" s="18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 ht="15.75" customHeight="1">
      <c r="A497" s="1"/>
      <c r="B497" s="18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 ht="15.75" customHeight="1">
      <c r="A498" s="1"/>
      <c r="B498" s="18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 ht="15.75" customHeight="1">
      <c r="A499" s="1"/>
      <c r="B499" s="18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 ht="15.75" customHeight="1">
      <c r="A500" s="1"/>
      <c r="B500" s="18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 ht="15.75" customHeight="1">
      <c r="A501" s="1"/>
      <c r="B501" s="18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 ht="15.75" customHeight="1">
      <c r="A502" s="1"/>
      <c r="B502" s="18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 ht="15.75" customHeight="1">
      <c r="A503" s="1"/>
      <c r="B503" s="18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 ht="15.75" customHeight="1">
      <c r="A504" s="1"/>
      <c r="B504" s="18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 ht="15.75" customHeight="1">
      <c r="A505" s="1"/>
      <c r="B505" s="18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 ht="15.75" customHeight="1">
      <c r="A506" s="1"/>
      <c r="B506" s="18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 ht="15.75" customHeight="1">
      <c r="A507" s="1"/>
      <c r="B507" s="18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 ht="15.75" customHeight="1">
      <c r="A508" s="1"/>
      <c r="B508" s="18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 ht="15.75" customHeight="1">
      <c r="A509" s="1"/>
      <c r="B509" s="18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 ht="15.75" customHeight="1">
      <c r="A510" s="1"/>
      <c r="B510" s="18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 ht="15.75" customHeight="1">
      <c r="A511" s="1"/>
      <c r="B511" s="18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 ht="15.75" customHeight="1">
      <c r="A512" s="1"/>
      <c r="B512" s="18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 ht="15.75" customHeight="1">
      <c r="A513" s="1"/>
      <c r="B513" s="18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 ht="15.75" customHeight="1">
      <c r="A514" s="1"/>
      <c r="B514" s="18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 ht="15.75" customHeight="1">
      <c r="A515" s="1"/>
      <c r="B515" s="18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 ht="15.75" customHeight="1">
      <c r="A516" s="1"/>
      <c r="B516" s="18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 ht="15.75" customHeight="1">
      <c r="A517" s="1"/>
      <c r="B517" s="18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 ht="15.75" customHeight="1">
      <c r="A518" s="1"/>
      <c r="B518" s="18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 ht="15.75" customHeight="1">
      <c r="A519" s="1"/>
      <c r="B519" s="18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 ht="15.75" customHeight="1">
      <c r="A520" s="1"/>
      <c r="B520" s="18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 ht="15.75" customHeight="1">
      <c r="A521" s="1"/>
      <c r="B521" s="18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 ht="15.75" customHeight="1">
      <c r="A522" s="1"/>
      <c r="B522" s="18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 ht="15.75" customHeight="1">
      <c r="A523" s="1"/>
      <c r="B523" s="18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 ht="15.75" customHeight="1">
      <c r="A524" s="1"/>
      <c r="B524" s="18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 ht="15.75" customHeight="1">
      <c r="A525" s="1"/>
      <c r="B525" s="18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 ht="15.75" customHeight="1">
      <c r="A526" s="1"/>
      <c r="B526" s="18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 ht="15.75" customHeight="1">
      <c r="A527" s="1"/>
      <c r="B527" s="18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 ht="15.75" customHeight="1">
      <c r="A528" s="1"/>
      <c r="B528" s="18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 ht="15.75" customHeight="1">
      <c r="A529" s="1"/>
      <c r="B529" s="18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 ht="15.75" customHeight="1">
      <c r="A530" s="1"/>
      <c r="B530" s="18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 ht="15.75" customHeight="1">
      <c r="A531" s="1"/>
      <c r="B531" s="18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 ht="15.75" customHeight="1">
      <c r="A532" s="1"/>
      <c r="B532" s="18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 ht="15.75" customHeight="1">
      <c r="A533" s="1"/>
      <c r="B533" s="18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 ht="15.75" customHeight="1">
      <c r="A534" s="1"/>
      <c r="B534" s="18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 ht="15.75" customHeight="1">
      <c r="A535" s="1"/>
      <c r="B535" s="18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 ht="15.75" customHeight="1">
      <c r="A536" s="1"/>
      <c r="B536" s="18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 ht="15.75" customHeight="1">
      <c r="A537" s="1"/>
      <c r="B537" s="18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 ht="15.75" customHeight="1">
      <c r="A538" s="1"/>
      <c r="B538" s="18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 ht="15.75" customHeight="1">
      <c r="A539" s="1"/>
      <c r="B539" s="18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 ht="15.75" customHeight="1">
      <c r="A540" s="1"/>
      <c r="B540" s="18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 ht="15.75" customHeight="1">
      <c r="A541" s="1"/>
      <c r="B541" s="18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 ht="15.75" customHeight="1">
      <c r="A542" s="1"/>
      <c r="B542" s="18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 ht="15.75" customHeight="1">
      <c r="A543" s="1"/>
      <c r="B543" s="18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</row>
    <row r="544" ht="15.75" customHeight="1">
      <c r="A544" s="1"/>
      <c r="B544" s="18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</row>
    <row r="545" ht="15.75" customHeight="1">
      <c r="A545" s="1"/>
      <c r="B545" s="18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</row>
    <row r="546" ht="15.75" customHeight="1">
      <c r="A546" s="1"/>
      <c r="B546" s="18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</row>
    <row r="547" ht="15.75" customHeight="1">
      <c r="A547" s="1"/>
      <c r="B547" s="18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</row>
    <row r="548" ht="15.75" customHeight="1">
      <c r="A548" s="1"/>
      <c r="B548" s="18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</row>
    <row r="549" ht="15.75" customHeight="1">
      <c r="A549" s="1"/>
      <c r="B549" s="18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</row>
    <row r="550" ht="15.75" customHeight="1">
      <c r="A550" s="1"/>
      <c r="B550" s="18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</row>
    <row r="551" ht="15.75" customHeight="1">
      <c r="A551" s="1"/>
      <c r="B551" s="18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</row>
    <row r="552" ht="15.75" customHeight="1">
      <c r="A552" s="1"/>
      <c r="B552" s="18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</row>
    <row r="553" ht="15.75" customHeight="1">
      <c r="A553" s="1"/>
      <c r="B553" s="18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</row>
    <row r="554" ht="15.75" customHeight="1">
      <c r="A554" s="1"/>
      <c r="B554" s="18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</row>
    <row r="555" ht="15.75" customHeight="1">
      <c r="A555" s="1"/>
      <c r="B555" s="18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</row>
    <row r="556" ht="15.75" customHeight="1">
      <c r="A556" s="1"/>
      <c r="B556" s="18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</row>
    <row r="557" ht="15.75" customHeight="1">
      <c r="A557" s="1"/>
      <c r="B557" s="18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</row>
    <row r="558" ht="15.75" customHeight="1">
      <c r="A558" s="1"/>
      <c r="B558" s="18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</row>
    <row r="559" ht="15.75" customHeight="1">
      <c r="A559" s="1"/>
      <c r="B559" s="18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</row>
    <row r="560" ht="15.75" customHeight="1">
      <c r="A560" s="1"/>
      <c r="B560" s="18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</row>
    <row r="561" ht="15.75" customHeight="1">
      <c r="A561" s="1"/>
      <c r="B561" s="18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</row>
    <row r="562" ht="15.75" customHeight="1">
      <c r="A562" s="1"/>
      <c r="B562" s="18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</row>
    <row r="563" ht="15.75" customHeight="1">
      <c r="A563" s="1"/>
      <c r="B563" s="18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</row>
    <row r="564" ht="15.75" customHeight="1">
      <c r="A564" s="1"/>
      <c r="B564" s="18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</row>
    <row r="565" ht="15.75" customHeight="1">
      <c r="A565" s="1"/>
      <c r="B565" s="18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</row>
    <row r="566" ht="15.75" customHeight="1">
      <c r="A566" s="1"/>
      <c r="B566" s="18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</row>
    <row r="567" ht="15.75" customHeight="1">
      <c r="A567" s="1"/>
      <c r="B567" s="18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</row>
    <row r="568" ht="15.75" customHeight="1">
      <c r="A568" s="1"/>
      <c r="B568" s="18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</row>
    <row r="569" ht="15.75" customHeight="1">
      <c r="A569" s="1"/>
      <c r="B569" s="18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</row>
    <row r="570" ht="15.75" customHeight="1">
      <c r="A570" s="1"/>
      <c r="B570" s="18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</row>
    <row r="571" ht="15.75" customHeight="1">
      <c r="A571" s="1"/>
      <c r="B571" s="18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</row>
    <row r="572" ht="15.75" customHeight="1">
      <c r="A572" s="1"/>
      <c r="B572" s="18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</row>
    <row r="573" ht="15.75" customHeight="1">
      <c r="A573" s="1"/>
      <c r="B573" s="18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</row>
    <row r="574" ht="15.75" customHeight="1">
      <c r="A574" s="1"/>
      <c r="B574" s="18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</row>
    <row r="575" ht="15.75" customHeight="1">
      <c r="A575" s="1"/>
      <c r="B575" s="18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</row>
    <row r="576" ht="15.75" customHeight="1">
      <c r="A576" s="1"/>
      <c r="B576" s="18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</row>
    <row r="577" ht="15.75" customHeight="1">
      <c r="A577" s="1"/>
      <c r="B577" s="18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</row>
    <row r="578" ht="15.75" customHeight="1">
      <c r="A578" s="1"/>
      <c r="B578" s="18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</row>
    <row r="579" ht="15.75" customHeight="1">
      <c r="A579" s="1"/>
      <c r="B579" s="18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</row>
    <row r="580" ht="15.75" customHeight="1">
      <c r="A580" s="1"/>
      <c r="B580" s="18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</row>
    <row r="581" ht="15.75" customHeight="1">
      <c r="A581" s="1"/>
      <c r="B581" s="18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</row>
    <row r="582" ht="15.75" customHeight="1">
      <c r="A582" s="1"/>
      <c r="B582" s="18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</row>
    <row r="583" ht="15.75" customHeight="1">
      <c r="A583" s="1"/>
      <c r="B583" s="18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</row>
    <row r="584" ht="15.75" customHeight="1">
      <c r="A584" s="1"/>
      <c r="B584" s="18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</row>
    <row r="585" ht="15.75" customHeight="1">
      <c r="A585" s="1"/>
      <c r="B585" s="18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</row>
    <row r="586" ht="15.75" customHeight="1">
      <c r="A586" s="1"/>
      <c r="B586" s="18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</row>
    <row r="587" ht="15.75" customHeight="1">
      <c r="A587" s="1"/>
      <c r="B587" s="18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</row>
    <row r="588" ht="15.75" customHeight="1">
      <c r="A588" s="1"/>
      <c r="B588" s="18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</row>
    <row r="589" ht="15.75" customHeight="1">
      <c r="A589" s="1"/>
      <c r="B589" s="18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</row>
    <row r="590" ht="15.75" customHeight="1">
      <c r="A590" s="1"/>
      <c r="B590" s="18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</row>
    <row r="591" ht="15.75" customHeight="1">
      <c r="A591" s="1"/>
      <c r="B591" s="18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</row>
    <row r="592" ht="15.75" customHeight="1">
      <c r="A592" s="1"/>
      <c r="B592" s="18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</row>
    <row r="593" ht="15.75" customHeight="1">
      <c r="A593" s="1"/>
      <c r="B593" s="18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</row>
    <row r="594" ht="15.75" customHeight="1">
      <c r="A594" s="1"/>
      <c r="B594" s="18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</row>
    <row r="595" ht="15.75" customHeight="1">
      <c r="A595" s="1"/>
      <c r="B595" s="18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</row>
    <row r="596" ht="15.75" customHeight="1">
      <c r="A596" s="1"/>
      <c r="B596" s="18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</row>
    <row r="597" ht="15.75" customHeight="1">
      <c r="A597" s="1"/>
      <c r="B597" s="18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</row>
    <row r="598" ht="15.75" customHeight="1">
      <c r="A598" s="1"/>
      <c r="B598" s="18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</row>
    <row r="599" ht="15.75" customHeight="1">
      <c r="A599" s="1"/>
      <c r="B599" s="18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</row>
    <row r="600" ht="15.75" customHeight="1">
      <c r="A600" s="1"/>
      <c r="B600" s="18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</row>
    <row r="601" ht="15.75" customHeight="1">
      <c r="A601" s="1"/>
      <c r="B601" s="18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</row>
    <row r="602" ht="15.75" customHeight="1">
      <c r="A602" s="1"/>
      <c r="B602" s="18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</row>
    <row r="603" ht="15.75" customHeight="1">
      <c r="A603" s="1"/>
      <c r="B603" s="18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</row>
    <row r="604" ht="15.75" customHeight="1">
      <c r="A604" s="1"/>
      <c r="B604" s="18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</row>
    <row r="605" ht="15.75" customHeight="1">
      <c r="A605" s="1"/>
      <c r="B605" s="18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</row>
    <row r="606" ht="15.75" customHeight="1">
      <c r="A606" s="1"/>
      <c r="B606" s="18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</row>
    <row r="607" ht="15.75" customHeight="1">
      <c r="A607" s="1"/>
      <c r="B607" s="18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</row>
    <row r="608" ht="15.75" customHeight="1">
      <c r="A608" s="1"/>
      <c r="B608" s="18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</row>
    <row r="609" ht="15.75" customHeight="1">
      <c r="A609" s="1"/>
      <c r="B609" s="18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</row>
    <row r="610" ht="15.75" customHeight="1">
      <c r="A610" s="1"/>
      <c r="B610" s="18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</row>
    <row r="611" ht="15.75" customHeight="1">
      <c r="A611" s="1"/>
      <c r="B611" s="18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</row>
    <row r="612" ht="15.75" customHeight="1">
      <c r="A612" s="1"/>
      <c r="B612" s="18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</row>
    <row r="613" ht="15.75" customHeight="1">
      <c r="A613" s="1"/>
      <c r="B613" s="18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</row>
    <row r="614" ht="15.75" customHeight="1">
      <c r="A614" s="1"/>
      <c r="B614" s="18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</row>
    <row r="615" ht="15.75" customHeight="1">
      <c r="A615" s="1"/>
      <c r="B615" s="18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</row>
    <row r="616" ht="15.75" customHeight="1">
      <c r="A616" s="1"/>
      <c r="B616" s="18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</row>
    <row r="617" ht="15.75" customHeight="1">
      <c r="A617" s="1"/>
      <c r="B617" s="18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</row>
    <row r="618" ht="15.75" customHeight="1">
      <c r="A618" s="1"/>
      <c r="B618" s="18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</row>
    <row r="619" ht="15.75" customHeight="1">
      <c r="A619" s="1"/>
      <c r="B619" s="18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</row>
    <row r="620" ht="15.75" customHeight="1">
      <c r="A620" s="1"/>
      <c r="B620" s="18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</row>
    <row r="621" ht="15.75" customHeight="1">
      <c r="A621" s="1"/>
      <c r="B621" s="18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</row>
    <row r="622" ht="15.75" customHeight="1">
      <c r="A622" s="1"/>
      <c r="B622" s="18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</row>
    <row r="623" ht="15.75" customHeight="1">
      <c r="A623" s="1"/>
      <c r="B623" s="18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</row>
    <row r="624" ht="15.75" customHeight="1">
      <c r="A624" s="1"/>
      <c r="B624" s="18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</row>
    <row r="625" ht="15.75" customHeight="1">
      <c r="A625" s="1"/>
      <c r="B625" s="18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</row>
    <row r="626" ht="15.75" customHeight="1">
      <c r="A626" s="1"/>
      <c r="B626" s="18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</row>
    <row r="627" ht="15.75" customHeight="1">
      <c r="A627" s="1"/>
      <c r="B627" s="18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</row>
    <row r="628" ht="15.75" customHeight="1">
      <c r="A628" s="1"/>
      <c r="B628" s="18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</row>
    <row r="629" ht="15.75" customHeight="1">
      <c r="A629" s="1"/>
      <c r="B629" s="18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</row>
    <row r="630" ht="15.75" customHeight="1">
      <c r="A630" s="1"/>
      <c r="B630" s="18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</row>
    <row r="631" ht="15.75" customHeight="1">
      <c r="A631" s="1"/>
      <c r="B631" s="18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</row>
    <row r="632" ht="15.75" customHeight="1">
      <c r="A632" s="1"/>
      <c r="B632" s="18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</row>
    <row r="633" ht="15.75" customHeight="1">
      <c r="A633" s="1"/>
      <c r="B633" s="18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</row>
    <row r="634" ht="15.75" customHeight="1">
      <c r="A634" s="1"/>
      <c r="B634" s="18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</row>
    <row r="635" ht="15.75" customHeight="1">
      <c r="A635" s="1"/>
      <c r="B635" s="18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</row>
    <row r="636" ht="15.75" customHeight="1">
      <c r="A636" s="1"/>
      <c r="B636" s="18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</row>
    <row r="637" ht="15.75" customHeight="1">
      <c r="A637" s="1"/>
      <c r="B637" s="18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</row>
    <row r="638" ht="15.75" customHeight="1">
      <c r="A638" s="1"/>
      <c r="B638" s="18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</row>
    <row r="639" ht="15.75" customHeight="1">
      <c r="A639" s="1"/>
      <c r="B639" s="18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</row>
    <row r="640" ht="15.75" customHeight="1">
      <c r="A640" s="1"/>
      <c r="B640" s="18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</row>
    <row r="641" ht="15.75" customHeight="1">
      <c r="A641" s="1"/>
      <c r="B641" s="18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</row>
    <row r="642" ht="15.75" customHeight="1">
      <c r="A642" s="1"/>
      <c r="B642" s="18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</row>
    <row r="643" ht="15.75" customHeight="1">
      <c r="A643" s="1"/>
      <c r="B643" s="18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</row>
    <row r="644" ht="15.75" customHeight="1">
      <c r="A644" s="1"/>
      <c r="B644" s="18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</row>
    <row r="645" ht="15.75" customHeight="1">
      <c r="A645" s="1"/>
      <c r="B645" s="18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</row>
    <row r="646" ht="15.75" customHeight="1">
      <c r="A646" s="1"/>
      <c r="B646" s="18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</row>
    <row r="647" ht="15.75" customHeight="1">
      <c r="A647" s="1"/>
      <c r="B647" s="18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</row>
    <row r="648" ht="15.75" customHeight="1">
      <c r="A648" s="1"/>
      <c r="B648" s="18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</row>
    <row r="649" ht="15.75" customHeight="1">
      <c r="A649" s="1"/>
      <c r="B649" s="18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</row>
    <row r="650" ht="15.75" customHeight="1">
      <c r="A650" s="1"/>
      <c r="B650" s="18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</row>
    <row r="651" ht="15.75" customHeight="1">
      <c r="A651" s="1"/>
      <c r="B651" s="18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</row>
    <row r="652" ht="15.75" customHeight="1">
      <c r="A652" s="1"/>
      <c r="B652" s="18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</row>
    <row r="653" ht="15.75" customHeight="1">
      <c r="A653" s="1"/>
      <c r="B653" s="18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</row>
    <row r="654" ht="15.75" customHeight="1">
      <c r="A654" s="1"/>
      <c r="B654" s="18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</row>
    <row r="655" ht="15.75" customHeight="1">
      <c r="A655" s="1"/>
      <c r="B655" s="18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</row>
    <row r="656" ht="15.75" customHeight="1">
      <c r="A656" s="1"/>
      <c r="B656" s="18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</row>
    <row r="657" ht="15.75" customHeight="1">
      <c r="A657" s="1"/>
      <c r="B657" s="18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</row>
    <row r="658" ht="15.75" customHeight="1">
      <c r="A658" s="1"/>
      <c r="B658" s="18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</row>
    <row r="659" ht="15.75" customHeight="1">
      <c r="A659" s="1"/>
      <c r="B659" s="18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</row>
    <row r="660" ht="15.75" customHeight="1">
      <c r="A660" s="1"/>
      <c r="B660" s="18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</row>
    <row r="661" ht="15.75" customHeight="1">
      <c r="A661" s="1"/>
      <c r="B661" s="18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</row>
    <row r="662" ht="15.75" customHeight="1">
      <c r="A662" s="1"/>
      <c r="B662" s="18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</row>
    <row r="663" ht="15.75" customHeight="1">
      <c r="A663" s="1"/>
      <c r="B663" s="18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</row>
    <row r="664" ht="15.75" customHeight="1">
      <c r="A664" s="1"/>
      <c r="B664" s="18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</row>
    <row r="665" ht="15.75" customHeight="1">
      <c r="A665" s="1"/>
      <c r="B665" s="18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</row>
    <row r="666" ht="15.75" customHeight="1">
      <c r="A666" s="1"/>
      <c r="B666" s="18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</row>
    <row r="667" ht="15.75" customHeight="1">
      <c r="A667" s="1"/>
      <c r="B667" s="18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</row>
    <row r="668" ht="15.75" customHeight="1">
      <c r="A668" s="1"/>
      <c r="B668" s="18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</row>
    <row r="669" ht="15.75" customHeight="1">
      <c r="A669" s="1"/>
      <c r="B669" s="18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</row>
    <row r="670" ht="15.75" customHeight="1">
      <c r="A670" s="1"/>
      <c r="B670" s="18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</row>
    <row r="671" ht="15.75" customHeight="1">
      <c r="A671" s="1"/>
      <c r="B671" s="18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</row>
    <row r="672" ht="15.75" customHeight="1">
      <c r="A672" s="1"/>
      <c r="B672" s="18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</row>
    <row r="673" ht="15.75" customHeight="1">
      <c r="A673" s="1"/>
      <c r="B673" s="18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</row>
    <row r="674" ht="15.75" customHeight="1">
      <c r="A674" s="1"/>
      <c r="B674" s="18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</row>
    <row r="675" ht="15.75" customHeight="1">
      <c r="A675" s="1"/>
      <c r="B675" s="18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</row>
    <row r="676" ht="15.75" customHeight="1">
      <c r="A676" s="1"/>
      <c r="B676" s="18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</row>
    <row r="677" ht="15.75" customHeight="1">
      <c r="A677" s="1"/>
      <c r="B677" s="18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</row>
    <row r="678" ht="15.75" customHeight="1">
      <c r="A678" s="1"/>
      <c r="B678" s="18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</row>
    <row r="679" ht="15.75" customHeight="1">
      <c r="A679" s="1"/>
      <c r="B679" s="18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</row>
    <row r="680" ht="15.75" customHeight="1">
      <c r="A680" s="1"/>
      <c r="B680" s="18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</row>
    <row r="681" ht="15.75" customHeight="1">
      <c r="A681" s="1"/>
      <c r="B681" s="18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</row>
    <row r="682" ht="15.75" customHeight="1">
      <c r="A682" s="1"/>
      <c r="B682" s="18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</row>
    <row r="683" ht="15.75" customHeight="1">
      <c r="A683" s="1"/>
      <c r="B683" s="18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</row>
    <row r="684" ht="15.75" customHeight="1">
      <c r="A684" s="1"/>
      <c r="B684" s="18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</row>
    <row r="685" ht="15.75" customHeight="1">
      <c r="A685" s="1"/>
      <c r="B685" s="18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</row>
    <row r="686" ht="15.75" customHeight="1">
      <c r="A686" s="1"/>
      <c r="B686" s="18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</row>
    <row r="687" ht="15.75" customHeight="1">
      <c r="A687" s="1"/>
      <c r="B687" s="18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</row>
    <row r="688" ht="15.75" customHeight="1">
      <c r="A688" s="1"/>
      <c r="B688" s="18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</row>
    <row r="689" ht="15.75" customHeight="1">
      <c r="A689" s="1"/>
      <c r="B689" s="18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</row>
    <row r="690" ht="15.75" customHeight="1">
      <c r="A690" s="1"/>
      <c r="B690" s="18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</row>
    <row r="691" ht="15.75" customHeight="1">
      <c r="A691" s="1"/>
      <c r="B691" s="18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</row>
    <row r="692" ht="15.75" customHeight="1">
      <c r="A692" s="1"/>
      <c r="B692" s="18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</row>
    <row r="693" ht="15.75" customHeight="1">
      <c r="A693" s="1"/>
      <c r="B693" s="18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</row>
    <row r="694" ht="15.75" customHeight="1">
      <c r="A694" s="1"/>
      <c r="B694" s="18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</row>
    <row r="695" ht="15.75" customHeight="1">
      <c r="A695" s="1"/>
      <c r="B695" s="18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</row>
    <row r="696" ht="15.75" customHeight="1">
      <c r="A696" s="1"/>
      <c r="B696" s="18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</row>
    <row r="697" ht="15.75" customHeight="1">
      <c r="A697" s="1"/>
      <c r="B697" s="18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</row>
    <row r="698" ht="15.75" customHeight="1">
      <c r="A698" s="1"/>
      <c r="B698" s="18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</row>
    <row r="699" ht="15.75" customHeight="1">
      <c r="A699" s="1"/>
      <c r="B699" s="18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</row>
    <row r="700" ht="15.75" customHeight="1">
      <c r="A700" s="1"/>
      <c r="B700" s="18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</row>
    <row r="701" ht="15.75" customHeight="1">
      <c r="A701" s="1"/>
      <c r="B701" s="18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</row>
    <row r="702" ht="15.75" customHeight="1">
      <c r="A702" s="1"/>
      <c r="B702" s="18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</row>
    <row r="703" ht="15.75" customHeight="1">
      <c r="A703" s="1"/>
      <c r="B703" s="18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</row>
    <row r="704" ht="15.75" customHeight="1">
      <c r="A704" s="1"/>
      <c r="B704" s="18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</row>
    <row r="705" ht="15.75" customHeight="1">
      <c r="A705" s="1"/>
      <c r="B705" s="18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</row>
    <row r="706" ht="15.75" customHeight="1">
      <c r="A706" s="1"/>
      <c r="B706" s="18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</row>
    <row r="707" ht="15.75" customHeight="1">
      <c r="A707" s="1"/>
      <c r="B707" s="18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</row>
    <row r="708" ht="15.75" customHeight="1">
      <c r="A708" s="1"/>
      <c r="B708" s="18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</row>
    <row r="709" ht="15.75" customHeight="1">
      <c r="A709" s="1"/>
      <c r="B709" s="18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</row>
    <row r="710" ht="15.75" customHeight="1">
      <c r="A710" s="1"/>
      <c r="B710" s="18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</row>
    <row r="711" ht="15.75" customHeight="1">
      <c r="A711" s="1"/>
      <c r="B711" s="18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</row>
    <row r="712" ht="15.75" customHeight="1">
      <c r="A712" s="1"/>
      <c r="B712" s="18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</row>
    <row r="713" ht="15.75" customHeight="1">
      <c r="A713" s="1"/>
      <c r="B713" s="18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</row>
    <row r="714" ht="15.75" customHeight="1">
      <c r="A714" s="1"/>
      <c r="B714" s="18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</row>
    <row r="715" ht="15.75" customHeight="1">
      <c r="A715" s="1"/>
      <c r="B715" s="18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</row>
    <row r="716" ht="15.75" customHeight="1">
      <c r="A716" s="1"/>
      <c r="B716" s="18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</row>
    <row r="717" ht="15.75" customHeight="1">
      <c r="A717" s="1"/>
      <c r="B717" s="18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</row>
    <row r="718" ht="15.75" customHeight="1">
      <c r="A718" s="1"/>
      <c r="B718" s="18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</row>
    <row r="719" ht="15.75" customHeight="1">
      <c r="A719" s="1"/>
      <c r="B719" s="18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</row>
    <row r="720" ht="15.75" customHeight="1">
      <c r="A720" s="1"/>
      <c r="B720" s="18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</row>
    <row r="721" ht="15.75" customHeight="1">
      <c r="A721" s="1"/>
      <c r="B721" s="18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</row>
    <row r="722" ht="15.75" customHeight="1">
      <c r="A722" s="1"/>
      <c r="B722" s="18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</row>
    <row r="723" ht="15.75" customHeight="1">
      <c r="A723" s="1"/>
      <c r="B723" s="18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</row>
    <row r="724" ht="15.75" customHeight="1">
      <c r="A724" s="1"/>
      <c r="B724" s="18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</row>
    <row r="725" ht="15.75" customHeight="1">
      <c r="A725" s="1"/>
      <c r="B725" s="18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</row>
    <row r="726" ht="15.75" customHeight="1">
      <c r="A726" s="1"/>
      <c r="B726" s="18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</row>
    <row r="727" ht="15.75" customHeight="1">
      <c r="A727" s="1"/>
      <c r="B727" s="18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</row>
    <row r="728" ht="15.75" customHeight="1">
      <c r="A728" s="1"/>
      <c r="B728" s="18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</row>
    <row r="729" ht="15.75" customHeight="1">
      <c r="A729" s="1"/>
      <c r="B729" s="18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</row>
    <row r="730" ht="15.75" customHeight="1">
      <c r="A730" s="1"/>
      <c r="B730" s="18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</row>
    <row r="731" ht="15.75" customHeight="1">
      <c r="A731" s="1"/>
      <c r="B731" s="18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</row>
    <row r="732" ht="15.75" customHeight="1">
      <c r="A732" s="1"/>
      <c r="B732" s="18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</row>
    <row r="733" ht="15.75" customHeight="1">
      <c r="A733" s="1"/>
      <c r="B733" s="18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</row>
    <row r="734" ht="15.75" customHeight="1">
      <c r="A734" s="1"/>
      <c r="B734" s="18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</row>
    <row r="735" ht="15.75" customHeight="1">
      <c r="A735" s="1"/>
      <c r="B735" s="18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</row>
    <row r="736" ht="15.75" customHeight="1">
      <c r="A736" s="1"/>
      <c r="B736" s="18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</row>
    <row r="737" ht="15.75" customHeight="1">
      <c r="A737" s="1"/>
      <c r="B737" s="18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</row>
    <row r="738" ht="15.75" customHeight="1">
      <c r="A738" s="1"/>
      <c r="B738" s="18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</row>
    <row r="739" ht="15.75" customHeight="1">
      <c r="A739" s="1"/>
      <c r="B739" s="18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</row>
    <row r="740" ht="15.75" customHeight="1">
      <c r="A740" s="1"/>
      <c r="B740" s="18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</row>
    <row r="741" ht="15.75" customHeight="1">
      <c r="A741" s="1"/>
      <c r="B741" s="18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</row>
    <row r="742" ht="15.75" customHeight="1">
      <c r="A742" s="1"/>
      <c r="B742" s="18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</row>
    <row r="743" ht="15.75" customHeight="1">
      <c r="A743" s="1"/>
      <c r="B743" s="18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</row>
    <row r="744" ht="15.75" customHeight="1">
      <c r="A744" s="1"/>
      <c r="B744" s="18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</row>
    <row r="745" ht="15.75" customHeight="1">
      <c r="A745" s="1"/>
      <c r="B745" s="18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</row>
    <row r="746" ht="15.75" customHeight="1">
      <c r="A746" s="1"/>
      <c r="B746" s="18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</row>
    <row r="747" ht="15.75" customHeight="1">
      <c r="A747" s="1"/>
      <c r="B747" s="18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</row>
    <row r="748" ht="15.75" customHeight="1">
      <c r="A748" s="1"/>
      <c r="B748" s="18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</row>
    <row r="749" ht="15.75" customHeight="1">
      <c r="A749" s="1"/>
      <c r="B749" s="18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</row>
    <row r="750" ht="15.75" customHeight="1">
      <c r="A750" s="1"/>
      <c r="B750" s="18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</row>
    <row r="751" ht="15.75" customHeight="1">
      <c r="A751" s="1"/>
      <c r="B751" s="18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</row>
    <row r="752" ht="15.75" customHeight="1">
      <c r="A752" s="1"/>
      <c r="B752" s="18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</row>
    <row r="753" ht="15.75" customHeight="1">
      <c r="A753" s="1"/>
      <c r="B753" s="18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</row>
    <row r="754" ht="15.75" customHeight="1">
      <c r="A754" s="1"/>
      <c r="B754" s="18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</row>
    <row r="755" ht="15.75" customHeight="1">
      <c r="A755" s="1"/>
      <c r="B755" s="18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</row>
    <row r="756" ht="15.75" customHeight="1">
      <c r="A756" s="1"/>
      <c r="B756" s="18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</row>
    <row r="757" ht="15.75" customHeight="1">
      <c r="A757" s="1"/>
      <c r="B757" s="18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</row>
    <row r="758" ht="15.75" customHeight="1">
      <c r="A758" s="1"/>
      <c r="B758" s="18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</row>
    <row r="759" ht="15.75" customHeight="1">
      <c r="A759" s="1"/>
      <c r="B759" s="18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</row>
    <row r="760" ht="15.75" customHeight="1">
      <c r="A760" s="1"/>
      <c r="B760" s="18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</row>
    <row r="761" ht="15.75" customHeight="1">
      <c r="A761" s="1"/>
      <c r="B761" s="18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</row>
    <row r="762" ht="15.75" customHeight="1">
      <c r="A762" s="1"/>
      <c r="B762" s="18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</row>
    <row r="763" ht="15.75" customHeight="1">
      <c r="A763" s="1"/>
      <c r="B763" s="18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</row>
    <row r="764" ht="15.75" customHeight="1">
      <c r="A764" s="1"/>
      <c r="B764" s="18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</row>
    <row r="765" ht="15.75" customHeight="1">
      <c r="A765" s="1"/>
      <c r="B765" s="18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</row>
    <row r="766" ht="15.75" customHeight="1">
      <c r="A766" s="1"/>
      <c r="B766" s="18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</row>
    <row r="767" ht="15.75" customHeight="1">
      <c r="A767" s="1"/>
      <c r="B767" s="18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</row>
    <row r="768" ht="15.75" customHeight="1">
      <c r="A768" s="1"/>
      <c r="B768" s="18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</row>
    <row r="769" ht="15.75" customHeight="1">
      <c r="A769" s="1"/>
      <c r="B769" s="18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</row>
    <row r="770" ht="15.75" customHeight="1">
      <c r="A770" s="1"/>
      <c r="B770" s="18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</row>
    <row r="771" ht="15.75" customHeight="1">
      <c r="A771" s="1"/>
      <c r="B771" s="18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</row>
    <row r="772" ht="15.75" customHeight="1">
      <c r="A772" s="1"/>
      <c r="B772" s="18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</row>
    <row r="773" ht="15.75" customHeight="1">
      <c r="A773" s="1"/>
      <c r="B773" s="18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</row>
    <row r="774" ht="15.75" customHeight="1">
      <c r="A774" s="1"/>
      <c r="B774" s="18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</row>
    <row r="775" ht="15.75" customHeight="1">
      <c r="A775" s="1"/>
      <c r="B775" s="18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</row>
    <row r="776" ht="15.75" customHeight="1">
      <c r="A776" s="1"/>
      <c r="B776" s="18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</row>
    <row r="777" ht="15.75" customHeight="1">
      <c r="A777" s="1"/>
      <c r="B777" s="18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</row>
    <row r="778" ht="15.75" customHeight="1">
      <c r="A778" s="1"/>
      <c r="B778" s="18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</row>
    <row r="779" ht="15.75" customHeight="1">
      <c r="A779" s="1"/>
      <c r="B779" s="18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</row>
    <row r="780" ht="15.75" customHeight="1">
      <c r="A780" s="1"/>
      <c r="B780" s="18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</row>
    <row r="781" ht="15.75" customHeight="1">
      <c r="A781" s="1"/>
      <c r="B781" s="18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</row>
    <row r="782" ht="15.75" customHeight="1">
      <c r="A782" s="1"/>
      <c r="B782" s="18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</row>
    <row r="783" ht="15.75" customHeight="1">
      <c r="A783" s="1"/>
      <c r="B783" s="18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</row>
    <row r="784" ht="15.75" customHeight="1">
      <c r="A784" s="1"/>
      <c r="B784" s="18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</row>
    <row r="785" ht="15.75" customHeight="1">
      <c r="A785" s="1"/>
      <c r="B785" s="18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</row>
    <row r="786" ht="15.75" customHeight="1">
      <c r="A786" s="1"/>
      <c r="B786" s="18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</row>
    <row r="787" ht="15.75" customHeight="1">
      <c r="A787" s="1"/>
      <c r="B787" s="18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</row>
    <row r="788" ht="15.75" customHeight="1">
      <c r="A788" s="1"/>
      <c r="B788" s="18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</row>
    <row r="789" ht="15.75" customHeight="1">
      <c r="A789" s="1"/>
      <c r="B789" s="18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</row>
    <row r="790" ht="15.75" customHeight="1">
      <c r="A790" s="1"/>
      <c r="B790" s="18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</row>
    <row r="791" ht="15.75" customHeight="1">
      <c r="A791" s="1"/>
      <c r="B791" s="18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</row>
    <row r="792" ht="15.75" customHeight="1">
      <c r="A792" s="1"/>
      <c r="B792" s="18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</row>
    <row r="793" ht="15.75" customHeight="1">
      <c r="A793" s="1"/>
      <c r="B793" s="18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</row>
    <row r="794" ht="15.75" customHeight="1">
      <c r="A794" s="1"/>
      <c r="B794" s="18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</row>
    <row r="795" ht="15.75" customHeight="1">
      <c r="A795" s="1"/>
      <c r="B795" s="18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</row>
    <row r="796" ht="15.75" customHeight="1">
      <c r="A796" s="1"/>
      <c r="B796" s="18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</row>
    <row r="797" ht="15.75" customHeight="1">
      <c r="A797" s="1"/>
      <c r="B797" s="18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</row>
    <row r="798" ht="15.75" customHeight="1">
      <c r="A798" s="1"/>
      <c r="B798" s="18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</row>
    <row r="799" ht="15.75" customHeight="1">
      <c r="A799" s="1"/>
      <c r="B799" s="18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</row>
    <row r="800" ht="15.75" customHeight="1">
      <c r="A800" s="1"/>
      <c r="B800" s="18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</row>
    <row r="801" ht="15.75" customHeight="1">
      <c r="A801" s="1"/>
      <c r="B801" s="18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</row>
    <row r="802" ht="15.75" customHeight="1">
      <c r="A802" s="1"/>
      <c r="B802" s="18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</row>
    <row r="803" ht="15.75" customHeight="1">
      <c r="A803" s="1"/>
      <c r="B803" s="18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</row>
    <row r="804" ht="15.75" customHeight="1">
      <c r="A804" s="1"/>
      <c r="B804" s="18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</row>
    <row r="805" ht="15.75" customHeight="1">
      <c r="A805" s="1"/>
      <c r="B805" s="18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</row>
    <row r="806" ht="15.75" customHeight="1">
      <c r="A806" s="1"/>
      <c r="B806" s="18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</row>
    <row r="807" ht="15.75" customHeight="1">
      <c r="A807" s="1"/>
      <c r="B807" s="18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</row>
    <row r="808" ht="15.75" customHeight="1">
      <c r="A808" s="1"/>
      <c r="B808" s="18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</row>
    <row r="809" ht="15.75" customHeight="1">
      <c r="A809" s="1"/>
      <c r="B809" s="18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</row>
    <row r="810" ht="15.75" customHeight="1">
      <c r="A810" s="1"/>
      <c r="B810" s="18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</row>
    <row r="811" ht="15.75" customHeight="1">
      <c r="A811" s="1"/>
      <c r="B811" s="18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</row>
    <row r="812" ht="15.75" customHeight="1">
      <c r="A812" s="1"/>
      <c r="B812" s="18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</row>
    <row r="813" ht="15.75" customHeight="1">
      <c r="A813" s="1"/>
      <c r="B813" s="18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</row>
    <row r="814" ht="15.75" customHeight="1">
      <c r="A814" s="1"/>
      <c r="B814" s="18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</row>
    <row r="815" ht="15.75" customHeight="1">
      <c r="A815" s="1"/>
      <c r="B815" s="18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</row>
    <row r="816" ht="15.75" customHeight="1">
      <c r="A816" s="1"/>
      <c r="B816" s="18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</row>
    <row r="817" ht="15.75" customHeight="1">
      <c r="A817" s="1"/>
      <c r="B817" s="18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</row>
    <row r="818" ht="15.75" customHeight="1">
      <c r="A818" s="1"/>
      <c r="B818" s="18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</row>
    <row r="819" ht="15.75" customHeight="1">
      <c r="A819" s="1"/>
      <c r="B819" s="18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</row>
    <row r="820" ht="15.75" customHeight="1">
      <c r="A820" s="1"/>
      <c r="B820" s="18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</row>
    <row r="821" ht="15.75" customHeight="1">
      <c r="A821" s="1"/>
      <c r="B821" s="18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</row>
    <row r="822" ht="15.75" customHeight="1">
      <c r="A822" s="1"/>
      <c r="B822" s="18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</row>
    <row r="823" ht="15.75" customHeight="1">
      <c r="A823" s="1"/>
      <c r="B823" s="18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</row>
    <row r="824" ht="15.75" customHeight="1">
      <c r="A824" s="1"/>
      <c r="B824" s="18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</row>
    <row r="825" ht="15.75" customHeight="1">
      <c r="A825" s="1"/>
      <c r="B825" s="18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</row>
    <row r="826" ht="15.75" customHeight="1">
      <c r="A826" s="1"/>
      <c r="B826" s="18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</row>
    <row r="827" ht="15.75" customHeight="1">
      <c r="A827" s="1"/>
      <c r="B827" s="18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</row>
    <row r="828" ht="15.75" customHeight="1">
      <c r="A828" s="1"/>
      <c r="B828" s="18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</row>
    <row r="829" ht="15.75" customHeight="1">
      <c r="A829" s="1"/>
      <c r="B829" s="18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</row>
    <row r="830" ht="15.75" customHeight="1">
      <c r="A830" s="1"/>
      <c r="B830" s="18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</row>
    <row r="831" ht="15.75" customHeight="1">
      <c r="A831" s="1"/>
      <c r="B831" s="18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</row>
    <row r="832" ht="15.75" customHeight="1">
      <c r="A832" s="1"/>
      <c r="B832" s="18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</row>
    <row r="833" ht="15.75" customHeight="1">
      <c r="A833" s="1"/>
      <c r="B833" s="18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</row>
    <row r="834" ht="15.75" customHeight="1">
      <c r="A834" s="1"/>
      <c r="B834" s="18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</row>
    <row r="835" ht="15.75" customHeight="1">
      <c r="A835" s="1"/>
      <c r="B835" s="18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</row>
    <row r="836" ht="15.75" customHeight="1">
      <c r="A836" s="1"/>
      <c r="B836" s="18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</row>
    <row r="837" ht="15.75" customHeight="1">
      <c r="A837" s="1"/>
      <c r="B837" s="18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</row>
    <row r="838" ht="15.75" customHeight="1">
      <c r="A838" s="1"/>
      <c r="B838" s="18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</row>
    <row r="839" ht="15.75" customHeight="1">
      <c r="A839" s="1"/>
      <c r="B839" s="18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</row>
    <row r="840" ht="15.75" customHeight="1">
      <c r="A840" s="1"/>
      <c r="B840" s="18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</row>
    <row r="841" ht="15.75" customHeight="1">
      <c r="A841" s="1"/>
      <c r="B841" s="18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</row>
    <row r="842" ht="15.75" customHeight="1">
      <c r="A842" s="1"/>
      <c r="B842" s="18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</row>
    <row r="843" ht="15.75" customHeight="1">
      <c r="A843" s="1"/>
      <c r="B843" s="18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</row>
    <row r="844" ht="15.75" customHeight="1">
      <c r="A844" s="1"/>
      <c r="B844" s="18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</row>
    <row r="845" ht="15.75" customHeight="1">
      <c r="A845" s="1"/>
      <c r="B845" s="18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</row>
    <row r="846" ht="15.75" customHeight="1">
      <c r="A846" s="1"/>
      <c r="B846" s="18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</row>
    <row r="847" ht="15.75" customHeight="1">
      <c r="A847" s="1"/>
      <c r="B847" s="18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</row>
    <row r="848" ht="15.75" customHeight="1">
      <c r="A848" s="1"/>
      <c r="B848" s="18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</row>
    <row r="849" ht="15.75" customHeight="1">
      <c r="A849" s="1"/>
      <c r="B849" s="18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</row>
    <row r="850" ht="15.75" customHeight="1">
      <c r="A850" s="1"/>
      <c r="B850" s="18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</row>
    <row r="851" ht="15.75" customHeight="1">
      <c r="A851" s="1"/>
      <c r="B851" s="18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</row>
    <row r="852" ht="15.75" customHeight="1">
      <c r="A852" s="1"/>
      <c r="B852" s="18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</row>
    <row r="853" ht="15.75" customHeight="1">
      <c r="A853" s="1"/>
      <c r="B853" s="18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</row>
    <row r="854" ht="15.75" customHeight="1">
      <c r="A854" s="1"/>
      <c r="B854" s="18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</row>
    <row r="855" ht="15.75" customHeight="1">
      <c r="A855" s="1"/>
      <c r="B855" s="18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</row>
    <row r="856" ht="15.75" customHeight="1">
      <c r="A856" s="1"/>
      <c r="B856" s="18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</row>
    <row r="857" ht="15.75" customHeight="1">
      <c r="A857" s="1"/>
      <c r="B857" s="18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</row>
    <row r="858" ht="15.75" customHeight="1">
      <c r="A858" s="1"/>
      <c r="B858" s="18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</row>
    <row r="859" ht="15.75" customHeight="1">
      <c r="A859" s="1"/>
      <c r="B859" s="18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</row>
    <row r="860" ht="15.75" customHeight="1">
      <c r="A860" s="1"/>
      <c r="B860" s="18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</row>
    <row r="861" ht="15.75" customHeight="1">
      <c r="A861" s="1"/>
      <c r="B861" s="18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</row>
    <row r="862" ht="15.75" customHeight="1">
      <c r="A862" s="1"/>
      <c r="B862" s="18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</row>
    <row r="863" ht="15.75" customHeight="1">
      <c r="A863" s="1"/>
      <c r="B863" s="18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</row>
    <row r="864" ht="15.75" customHeight="1">
      <c r="A864" s="1"/>
      <c r="B864" s="18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</row>
    <row r="865" ht="15.75" customHeight="1">
      <c r="A865" s="1"/>
      <c r="B865" s="18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</row>
    <row r="866" ht="15.75" customHeight="1">
      <c r="A866" s="1"/>
      <c r="B866" s="18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</row>
    <row r="867" ht="15.75" customHeight="1">
      <c r="A867" s="1"/>
      <c r="B867" s="18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</row>
    <row r="868" ht="15.75" customHeight="1">
      <c r="A868" s="1"/>
      <c r="B868" s="18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</row>
    <row r="869" ht="15.75" customHeight="1">
      <c r="A869" s="1"/>
      <c r="B869" s="18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</row>
    <row r="870" ht="15.75" customHeight="1">
      <c r="A870" s="1"/>
      <c r="B870" s="18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</row>
    <row r="871" ht="15.75" customHeight="1">
      <c r="A871" s="1"/>
      <c r="B871" s="18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</row>
    <row r="872" ht="15.75" customHeight="1">
      <c r="A872" s="1"/>
      <c r="B872" s="18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</row>
    <row r="873" ht="15.75" customHeight="1">
      <c r="A873" s="1"/>
      <c r="B873" s="18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</row>
    <row r="874" ht="15.75" customHeight="1">
      <c r="A874" s="1"/>
      <c r="B874" s="18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</row>
    <row r="875" ht="15.75" customHeight="1">
      <c r="A875" s="1"/>
      <c r="B875" s="18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</row>
    <row r="876" ht="15.75" customHeight="1">
      <c r="A876" s="1"/>
      <c r="B876" s="18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</row>
    <row r="877" ht="15.75" customHeight="1">
      <c r="A877" s="1"/>
      <c r="B877" s="18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</row>
    <row r="878" ht="15.75" customHeight="1">
      <c r="A878" s="1"/>
      <c r="B878" s="18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</row>
    <row r="879" ht="15.75" customHeight="1">
      <c r="A879" s="1"/>
      <c r="B879" s="18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</row>
    <row r="880" ht="15.75" customHeight="1">
      <c r="A880" s="1"/>
      <c r="B880" s="18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</row>
    <row r="881" ht="15.75" customHeight="1">
      <c r="A881" s="1"/>
      <c r="B881" s="18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</row>
    <row r="882" ht="15.75" customHeight="1">
      <c r="A882" s="1"/>
      <c r="B882" s="18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</row>
    <row r="883" ht="15.75" customHeight="1">
      <c r="A883" s="1"/>
      <c r="B883" s="18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</row>
    <row r="884" ht="15.75" customHeight="1">
      <c r="A884" s="1"/>
      <c r="B884" s="18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</row>
    <row r="885" ht="15.75" customHeight="1">
      <c r="A885" s="1"/>
      <c r="B885" s="18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</row>
    <row r="886" ht="15.75" customHeight="1">
      <c r="A886" s="1"/>
      <c r="B886" s="18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</row>
    <row r="887" ht="15.75" customHeight="1">
      <c r="A887" s="1"/>
      <c r="B887" s="18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</row>
    <row r="888" ht="15.75" customHeight="1">
      <c r="A888" s="1"/>
      <c r="B888" s="18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</row>
    <row r="889" ht="15.75" customHeight="1">
      <c r="A889" s="1"/>
      <c r="B889" s="18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</row>
    <row r="890" ht="15.75" customHeight="1">
      <c r="A890" s="1"/>
      <c r="B890" s="18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</row>
    <row r="891" ht="15.75" customHeight="1">
      <c r="A891" s="1"/>
      <c r="B891" s="18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</row>
    <row r="892" ht="15.75" customHeight="1">
      <c r="A892" s="1"/>
      <c r="B892" s="18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</row>
    <row r="893" ht="15.75" customHeight="1">
      <c r="A893" s="1"/>
      <c r="B893" s="18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</row>
    <row r="894" ht="15.75" customHeight="1">
      <c r="A894" s="1"/>
      <c r="B894" s="18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</row>
    <row r="895" ht="15.75" customHeight="1">
      <c r="A895" s="1"/>
      <c r="B895" s="18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</row>
    <row r="896" ht="15.75" customHeight="1">
      <c r="A896" s="1"/>
      <c r="B896" s="18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</row>
    <row r="897" ht="15.75" customHeight="1">
      <c r="A897" s="1"/>
      <c r="B897" s="18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</row>
    <row r="898" ht="15.75" customHeight="1">
      <c r="A898" s="1"/>
      <c r="B898" s="18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</row>
    <row r="899" ht="15.75" customHeight="1">
      <c r="A899" s="1"/>
      <c r="B899" s="18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</row>
    <row r="900" ht="15.75" customHeight="1">
      <c r="A900" s="1"/>
      <c r="B900" s="18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</row>
    <row r="901" ht="15.75" customHeight="1">
      <c r="A901" s="1"/>
      <c r="B901" s="18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</row>
    <row r="902" ht="15.75" customHeight="1">
      <c r="A902" s="1"/>
      <c r="B902" s="18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</row>
    <row r="903" ht="15.75" customHeight="1">
      <c r="A903" s="1"/>
      <c r="B903" s="18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</row>
    <row r="904" ht="15.75" customHeight="1">
      <c r="A904" s="1"/>
      <c r="B904" s="18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</row>
    <row r="905" ht="15.75" customHeight="1">
      <c r="A905" s="1"/>
      <c r="B905" s="18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</row>
    <row r="906" ht="15.75" customHeight="1">
      <c r="A906" s="1"/>
      <c r="B906" s="18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</row>
    <row r="907" ht="15.75" customHeight="1">
      <c r="A907" s="1"/>
      <c r="B907" s="18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</row>
    <row r="908" ht="15.75" customHeight="1">
      <c r="A908" s="1"/>
      <c r="B908" s="18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</row>
    <row r="909" ht="15.75" customHeight="1">
      <c r="A909" s="1"/>
      <c r="B909" s="18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</row>
    <row r="910" ht="15.75" customHeight="1">
      <c r="A910" s="1"/>
      <c r="B910" s="18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</row>
    <row r="911" ht="15.75" customHeight="1">
      <c r="A911" s="1"/>
      <c r="B911" s="18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</row>
    <row r="912" ht="15.75" customHeight="1">
      <c r="A912" s="1"/>
      <c r="B912" s="18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</row>
    <row r="913" ht="15.75" customHeight="1">
      <c r="A913" s="1"/>
      <c r="B913" s="18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</row>
    <row r="914" ht="15.75" customHeight="1">
      <c r="A914" s="1"/>
      <c r="B914" s="18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</row>
    <row r="915" ht="15.75" customHeight="1">
      <c r="A915" s="1"/>
      <c r="B915" s="18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</row>
    <row r="916" ht="15.75" customHeight="1">
      <c r="A916" s="1"/>
      <c r="B916" s="18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</row>
    <row r="917" ht="15.75" customHeight="1">
      <c r="A917" s="1"/>
      <c r="B917" s="18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</row>
    <row r="918" ht="15.75" customHeight="1">
      <c r="A918" s="1"/>
      <c r="B918" s="18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</row>
    <row r="919" ht="15.75" customHeight="1">
      <c r="A919" s="1"/>
      <c r="B919" s="18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</row>
    <row r="920" ht="15.75" customHeight="1">
      <c r="A920" s="1"/>
      <c r="B920" s="18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</row>
    <row r="921" ht="15.75" customHeight="1">
      <c r="A921" s="1"/>
      <c r="B921" s="18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</row>
    <row r="922" ht="15.75" customHeight="1">
      <c r="A922" s="1"/>
      <c r="B922" s="18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</row>
    <row r="923" ht="15.75" customHeight="1">
      <c r="A923" s="1"/>
      <c r="B923" s="18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</row>
    <row r="924" ht="15.75" customHeight="1">
      <c r="A924" s="1"/>
      <c r="B924" s="18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</row>
    <row r="925" ht="15.75" customHeight="1">
      <c r="A925" s="1"/>
      <c r="B925" s="18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</row>
    <row r="926" ht="15.75" customHeight="1">
      <c r="A926" s="1"/>
      <c r="B926" s="18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</row>
    <row r="927" ht="15.75" customHeight="1">
      <c r="A927" s="1"/>
      <c r="B927" s="18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</row>
    <row r="928" ht="15.75" customHeight="1">
      <c r="A928" s="1"/>
      <c r="B928" s="18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</row>
    <row r="929" ht="15.75" customHeight="1">
      <c r="A929" s="1"/>
      <c r="B929" s="18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</row>
    <row r="930" ht="15.75" customHeight="1">
      <c r="A930" s="1"/>
      <c r="B930" s="18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</row>
    <row r="931" ht="15.75" customHeight="1">
      <c r="A931" s="1"/>
      <c r="B931" s="18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</row>
    <row r="932" ht="15.75" customHeight="1">
      <c r="A932" s="1"/>
      <c r="B932" s="18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</row>
    <row r="933" ht="15.75" customHeight="1">
      <c r="A933" s="1"/>
      <c r="B933" s="18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</row>
    <row r="934" ht="15.75" customHeight="1">
      <c r="A934" s="1"/>
      <c r="B934" s="18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</row>
    <row r="935" ht="15.75" customHeight="1">
      <c r="A935" s="1"/>
      <c r="B935" s="18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</row>
    <row r="936" ht="15.75" customHeight="1">
      <c r="A936" s="1"/>
      <c r="B936" s="18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</row>
    <row r="937" ht="15.75" customHeight="1">
      <c r="A937" s="1"/>
      <c r="B937" s="18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</row>
    <row r="938" ht="15.75" customHeight="1">
      <c r="A938" s="1"/>
      <c r="B938" s="18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</row>
    <row r="939" ht="15.75" customHeight="1">
      <c r="A939" s="1"/>
      <c r="B939" s="18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</row>
    <row r="940" ht="15.75" customHeight="1">
      <c r="A940" s="1"/>
      <c r="B940" s="18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</row>
    <row r="941" ht="15.75" customHeight="1">
      <c r="A941" s="1"/>
      <c r="B941" s="18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</row>
    <row r="942" ht="15.75" customHeight="1">
      <c r="A942" s="1"/>
      <c r="B942" s="18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</row>
    <row r="943" ht="15.75" customHeight="1">
      <c r="A943" s="1"/>
      <c r="B943" s="18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</row>
    <row r="944" ht="15.75" customHeight="1">
      <c r="A944" s="1"/>
      <c r="B944" s="18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</row>
    <row r="945" ht="15.75" customHeight="1">
      <c r="A945" s="1"/>
      <c r="B945" s="18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</row>
    <row r="946" ht="15.75" customHeight="1">
      <c r="A946" s="1"/>
      <c r="B946" s="18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</row>
    <row r="947" ht="15.75" customHeight="1">
      <c r="A947" s="1"/>
      <c r="B947" s="18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</row>
    <row r="948" ht="15.75" customHeight="1">
      <c r="A948" s="1"/>
      <c r="B948" s="18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</row>
    <row r="949" ht="15.75" customHeight="1">
      <c r="A949" s="1"/>
      <c r="B949" s="18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</row>
    <row r="950" ht="15.75" customHeight="1">
      <c r="A950" s="1"/>
      <c r="B950" s="18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</row>
    <row r="951" ht="15.75" customHeight="1">
      <c r="A951" s="1"/>
      <c r="B951" s="18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</row>
    <row r="952" ht="15.75" customHeight="1">
      <c r="A952" s="1"/>
      <c r="B952" s="18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</row>
    <row r="953" ht="15.75" customHeight="1">
      <c r="A953" s="1"/>
      <c r="B953" s="18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</row>
    <row r="954" ht="15.75" customHeight="1">
      <c r="A954" s="1"/>
      <c r="B954" s="18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</row>
    <row r="955" ht="15.75" customHeight="1">
      <c r="A955" s="1"/>
      <c r="B955" s="18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</row>
    <row r="956" ht="15.75" customHeight="1">
      <c r="A956" s="1"/>
      <c r="B956" s="18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</row>
    <row r="957" ht="15.75" customHeight="1">
      <c r="A957" s="1"/>
      <c r="B957" s="18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</row>
    <row r="958" ht="15.75" customHeight="1">
      <c r="A958" s="1"/>
      <c r="B958" s="18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</row>
    <row r="959" ht="15.75" customHeight="1">
      <c r="A959" s="1"/>
      <c r="B959" s="18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</row>
    <row r="960" ht="15.75" customHeight="1">
      <c r="A960" s="1"/>
      <c r="B960" s="18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</row>
    <row r="961" ht="15.75" customHeight="1">
      <c r="A961" s="1"/>
      <c r="B961" s="18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</row>
    <row r="962" ht="15.75" customHeight="1">
      <c r="A962" s="1"/>
      <c r="B962" s="18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</row>
    <row r="963" ht="15.75" customHeight="1">
      <c r="A963" s="1"/>
      <c r="B963" s="18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</row>
    <row r="964" ht="15.75" customHeight="1">
      <c r="A964" s="1"/>
      <c r="B964" s="18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</row>
    <row r="965" ht="15.75" customHeight="1">
      <c r="A965" s="1"/>
      <c r="B965" s="18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</row>
    <row r="966" ht="15.75" customHeight="1">
      <c r="A966" s="1"/>
      <c r="B966" s="18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</row>
    <row r="967" ht="15.75" customHeight="1">
      <c r="A967" s="1"/>
      <c r="B967" s="18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</row>
    <row r="968" ht="15.75" customHeight="1">
      <c r="A968" s="1"/>
      <c r="B968" s="18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</row>
    <row r="969" ht="15.75" customHeight="1">
      <c r="A969" s="1"/>
      <c r="B969" s="18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</row>
    <row r="970" ht="15.75" customHeight="1">
      <c r="A970" s="1"/>
      <c r="B970" s="18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</row>
    <row r="971" ht="15.75" customHeight="1">
      <c r="A971" s="1"/>
      <c r="B971" s="18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</row>
    <row r="972" ht="15.75" customHeight="1">
      <c r="A972" s="1"/>
      <c r="B972" s="18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</row>
    <row r="973" ht="15.75" customHeight="1">
      <c r="A973" s="1"/>
      <c r="B973" s="18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</row>
    <row r="974" ht="15.75" customHeight="1">
      <c r="A974" s="1"/>
      <c r="B974" s="18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</row>
    <row r="975" ht="15.75" customHeight="1">
      <c r="A975" s="1"/>
      <c r="B975" s="18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</row>
    <row r="976" ht="15.75" customHeight="1">
      <c r="A976" s="1"/>
      <c r="B976" s="18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</row>
    <row r="977" ht="15.75" customHeight="1">
      <c r="A977" s="1"/>
      <c r="B977" s="18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</row>
    <row r="978" ht="15.75" customHeight="1">
      <c r="A978" s="1"/>
      <c r="B978" s="18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</row>
    <row r="979" ht="15.75" customHeight="1">
      <c r="A979" s="1"/>
      <c r="B979" s="18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</row>
    <row r="980" ht="15.75" customHeight="1">
      <c r="A980" s="1"/>
      <c r="B980" s="18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</row>
    <row r="981" ht="15.75" customHeight="1">
      <c r="A981" s="1"/>
      <c r="B981" s="18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</row>
    <row r="982" ht="15.75" customHeight="1">
      <c r="A982" s="1"/>
      <c r="B982" s="18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</row>
    <row r="983" ht="15.75" customHeight="1">
      <c r="A983" s="1"/>
      <c r="B983" s="18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</row>
    <row r="984" ht="15.75" customHeight="1">
      <c r="A984" s="1"/>
      <c r="B984" s="18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</row>
    <row r="985" ht="15.75" customHeight="1">
      <c r="A985" s="1"/>
      <c r="B985" s="18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</row>
    <row r="986" ht="15.75" customHeight="1">
      <c r="A986" s="1"/>
      <c r="B986" s="18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</row>
    <row r="987" ht="15.75" customHeight="1">
      <c r="A987" s="1"/>
      <c r="B987" s="18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</row>
    <row r="988" ht="15.75" customHeight="1">
      <c r="A988" s="1"/>
      <c r="B988" s="18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</row>
    <row r="989" ht="15.75" customHeight="1">
      <c r="A989" s="1"/>
      <c r="B989" s="18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</row>
    <row r="990" ht="15.75" customHeight="1">
      <c r="A990" s="1"/>
      <c r="B990" s="18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</row>
    <row r="991" ht="15.75" customHeight="1">
      <c r="A991" s="1"/>
      <c r="B991" s="18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</row>
    <row r="992" ht="15.75" customHeight="1">
      <c r="A992" s="1"/>
      <c r="B992" s="18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</row>
    <row r="993" ht="15.75" customHeight="1">
      <c r="A993" s="1"/>
      <c r="B993" s="18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</row>
    <row r="994" ht="15.75" customHeight="1">
      <c r="A994" s="1"/>
      <c r="B994" s="18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</row>
    <row r="995" ht="15.75" customHeight="1">
      <c r="A995" s="1"/>
      <c r="B995" s="18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</row>
    <row r="996" ht="15.75" customHeight="1">
      <c r="A996" s="1"/>
      <c r="B996" s="18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</row>
    <row r="997" ht="15.75" customHeight="1">
      <c r="A997" s="1"/>
      <c r="B997" s="18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</row>
    <row r="998" ht="15.75" customHeight="1">
      <c r="A998" s="1"/>
      <c r="B998" s="18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</row>
    <row r="999" ht="15.75" customHeight="1">
      <c r="A999" s="1"/>
      <c r="B999" s="18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</row>
    <row r="1000" ht="15.75" customHeight="1">
      <c r="A1000" s="1"/>
      <c r="B1000" s="18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</row>
  </sheetData>
  <mergeCells count="11">
    <mergeCell ref="B67:C67"/>
    <mergeCell ref="B68:C68"/>
    <mergeCell ref="B69:C69"/>
    <mergeCell ref="B70:C70"/>
    <mergeCell ref="B8:B10"/>
    <mergeCell ref="C8:D9"/>
    <mergeCell ref="E8:F8"/>
    <mergeCell ref="J8:J9"/>
    <mergeCell ref="B64:C64"/>
    <mergeCell ref="B65:C65"/>
    <mergeCell ref="B66:C6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0.0"/>
    <col customWidth="1" min="2" max="2" width="22.44"/>
    <col customWidth="1" min="3" max="6" width="7.44"/>
    <col customWidth="1" min="7" max="8" width="9.0"/>
    <col customWidth="1" min="9" max="10" width="9.44"/>
    <col customWidth="1" min="11" max="15" width="9.0"/>
    <col customWidth="1" min="16" max="16" width="15.89"/>
    <col customWidth="1" min="17" max="26" width="8.0"/>
  </cols>
  <sheetData>
    <row r="1" ht="93.75" customHeight="1">
      <c r="A1" s="194"/>
      <c r="B1" s="195"/>
      <c r="C1" s="194"/>
      <c r="D1" s="194"/>
      <c r="E1" s="194"/>
      <c r="F1" s="194"/>
      <c r="G1" s="194"/>
      <c r="H1" s="194"/>
      <c r="I1" s="194"/>
      <c r="J1" s="194"/>
      <c r="K1" s="194"/>
      <c r="L1" s="196" t="s">
        <v>0</v>
      </c>
      <c r="M1" s="197"/>
      <c r="N1" s="198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ht="31.5" customHeight="1">
      <c r="A2" s="199"/>
      <c r="B2" s="88" t="s">
        <v>1056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85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ht="6.0" customHeight="1">
      <c r="A3" s="194"/>
      <c r="B3" s="201"/>
      <c r="C3" s="202"/>
      <c r="D3" s="202"/>
      <c r="E3" s="202"/>
      <c r="F3" s="202"/>
      <c r="G3" s="202"/>
      <c r="H3" s="202"/>
      <c r="I3" s="202"/>
      <c r="J3" s="202"/>
      <c r="K3" s="202"/>
      <c r="L3" s="194"/>
      <c r="M3" s="194"/>
      <c r="N3" s="194"/>
      <c r="O3" s="185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ht="18.0" customHeight="1">
      <c r="A4" s="203"/>
      <c r="B4" s="204" t="s">
        <v>3</v>
      </c>
      <c r="C4" s="23" t="s">
        <v>4</v>
      </c>
      <c r="D4" s="24"/>
      <c r="E4" s="205" t="s">
        <v>5</v>
      </c>
      <c r="F4" s="26"/>
      <c r="G4" s="206" t="s">
        <v>6</v>
      </c>
      <c r="H4" s="207" t="s">
        <v>1057</v>
      </c>
      <c r="I4" s="208" t="s">
        <v>7</v>
      </c>
      <c r="J4" s="26"/>
      <c r="K4" s="209" t="s">
        <v>1058</v>
      </c>
      <c r="L4" s="210" t="s">
        <v>9</v>
      </c>
      <c r="M4" s="211" t="s">
        <v>10</v>
      </c>
      <c r="N4" s="211" t="s">
        <v>11</v>
      </c>
      <c r="O4" s="185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ht="18.0" customHeight="1">
      <c r="A5" s="203"/>
      <c r="B5" s="213"/>
      <c r="C5" s="35"/>
      <c r="D5" s="36"/>
      <c r="E5" s="214" t="s">
        <v>960</v>
      </c>
      <c r="F5" s="123"/>
      <c r="G5" s="215"/>
      <c r="H5" s="216"/>
      <c r="I5" s="217"/>
      <c r="J5" s="123"/>
      <c r="K5" s="218" t="s">
        <v>1059</v>
      </c>
      <c r="L5" s="219"/>
      <c r="M5" s="202"/>
      <c r="N5" s="202"/>
      <c r="O5" s="185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ht="18.0" customHeight="1">
      <c r="A6" s="203"/>
      <c r="B6" s="220"/>
      <c r="C6" s="221" t="s">
        <v>15</v>
      </c>
      <c r="D6" s="222" t="s">
        <v>16</v>
      </c>
      <c r="E6" s="223" t="s">
        <v>1060</v>
      </c>
      <c r="F6" s="224" t="s">
        <v>1061</v>
      </c>
      <c r="G6" s="225" t="s">
        <v>19</v>
      </c>
      <c r="H6" s="226"/>
      <c r="I6" s="227" t="s">
        <v>20</v>
      </c>
      <c r="J6" s="228" t="s">
        <v>21</v>
      </c>
      <c r="K6" s="221" t="s">
        <v>1062</v>
      </c>
      <c r="L6" s="229" t="s">
        <v>22</v>
      </c>
      <c r="M6" s="230" t="s">
        <v>23</v>
      </c>
      <c r="N6" s="231" t="s">
        <v>24</v>
      </c>
      <c r="O6" s="185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ht="18.0" customHeight="1">
      <c r="A7" s="203"/>
      <c r="B7" s="112" t="s">
        <v>1063</v>
      </c>
      <c r="C7" s="103">
        <v>0.75</v>
      </c>
      <c r="D7" s="104">
        <v>1.0</v>
      </c>
      <c r="E7" s="103">
        <v>6.0</v>
      </c>
      <c r="F7" s="104">
        <v>16.0</v>
      </c>
      <c r="G7" s="132">
        <v>40.0</v>
      </c>
      <c r="H7" s="232">
        <v>5.0</v>
      </c>
      <c r="I7" s="233">
        <v>213.57</v>
      </c>
      <c r="J7" s="107">
        <v>206.79</v>
      </c>
      <c r="K7" s="103" t="s">
        <v>35</v>
      </c>
      <c r="L7" s="109">
        <v>2900.0</v>
      </c>
      <c r="M7" s="109">
        <v>25.9</v>
      </c>
      <c r="N7" s="110">
        <f>0.5*0.32*0.23</f>
        <v>0.0368</v>
      </c>
      <c r="O7" s="185"/>
      <c r="P7" s="185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ht="18.0" customHeight="1">
      <c r="A8" s="203"/>
      <c r="B8" s="112" t="s">
        <v>1064</v>
      </c>
      <c r="C8" s="103">
        <v>0.75</v>
      </c>
      <c r="D8" s="104">
        <v>1.0</v>
      </c>
      <c r="E8" s="103">
        <v>10.0</v>
      </c>
      <c r="F8" s="104">
        <v>10.0</v>
      </c>
      <c r="G8" s="132">
        <v>50.0</v>
      </c>
      <c r="H8" s="232">
        <v>15.0</v>
      </c>
      <c r="I8" s="233">
        <v>218.08999999999997</v>
      </c>
      <c r="J8" s="107">
        <v>210.17999999999998</v>
      </c>
      <c r="K8" s="103" t="s">
        <v>35</v>
      </c>
      <c r="L8" s="109">
        <v>2900.0</v>
      </c>
      <c r="M8" s="109">
        <v>27.7</v>
      </c>
      <c r="N8" s="110">
        <f>0.52*0.34*0.23</f>
        <v>0.040664</v>
      </c>
      <c r="O8" s="185"/>
      <c r="P8" s="185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ht="18.0" customHeight="1">
      <c r="A9" s="194"/>
      <c r="B9" s="112" t="s">
        <v>1065</v>
      </c>
      <c r="C9" s="103">
        <v>1.1</v>
      </c>
      <c r="D9" s="104">
        <v>1.5</v>
      </c>
      <c r="E9" s="103">
        <v>8.0</v>
      </c>
      <c r="F9" s="104">
        <v>16.0</v>
      </c>
      <c r="G9" s="132">
        <v>50.0</v>
      </c>
      <c r="H9" s="232">
        <v>20.0</v>
      </c>
      <c r="I9" s="233">
        <v>257.64</v>
      </c>
      <c r="J9" s="107">
        <v>248.59999999999997</v>
      </c>
      <c r="K9" s="103" t="s">
        <v>35</v>
      </c>
      <c r="L9" s="109">
        <v>2900.0</v>
      </c>
      <c r="M9" s="109">
        <v>28.3</v>
      </c>
      <c r="N9" s="110">
        <f t="shared" ref="N9:N11" si="1">0.55*0.325*0.23</f>
        <v>0.0411125</v>
      </c>
      <c r="O9" s="185"/>
      <c r="P9" s="185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ht="18.0" customHeight="1">
      <c r="A10" s="203"/>
      <c r="B10" s="112" t="s">
        <v>1066</v>
      </c>
      <c r="C10" s="103">
        <v>1.5</v>
      </c>
      <c r="D10" s="104">
        <v>2.0</v>
      </c>
      <c r="E10" s="103">
        <v>15.0</v>
      </c>
      <c r="F10" s="104">
        <v>15.0</v>
      </c>
      <c r="G10" s="132">
        <v>50.0</v>
      </c>
      <c r="H10" s="232">
        <v>20.0</v>
      </c>
      <c r="I10" s="233">
        <v>287.02</v>
      </c>
      <c r="J10" s="107">
        <v>261.03</v>
      </c>
      <c r="K10" s="103" t="s">
        <v>35</v>
      </c>
      <c r="L10" s="109">
        <v>2900.0</v>
      </c>
      <c r="M10" s="109">
        <v>29.8</v>
      </c>
      <c r="N10" s="110">
        <f t="shared" si="1"/>
        <v>0.0411125</v>
      </c>
      <c r="O10" s="185"/>
      <c r="P10" s="185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ht="18.0" customHeight="1">
      <c r="A11" s="203"/>
      <c r="B11" s="112" t="s">
        <v>1067</v>
      </c>
      <c r="C11" s="103">
        <v>1.5</v>
      </c>
      <c r="D11" s="104">
        <v>2.0</v>
      </c>
      <c r="E11" s="103">
        <v>8.0</v>
      </c>
      <c r="F11" s="104">
        <v>20.0</v>
      </c>
      <c r="G11" s="132">
        <v>50.0</v>
      </c>
      <c r="H11" s="232">
        <v>20.0</v>
      </c>
      <c r="I11" s="234">
        <v>287.02</v>
      </c>
      <c r="J11" s="107">
        <v>261.03</v>
      </c>
      <c r="K11" s="103" t="s">
        <v>35</v>
      </c>
      <c r="L11" s="109">
        <v>2900.0</v>
      </c>
      <c r="M11" s="109">
        <v>29.2</v>
      </c>
      <c r="N11" s="110">
        <f t="shared" si="1"/>
        <v>0.0411125</v>
      </c>
      <c r="O11" s="185"/>
      <c r="P11" s="185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ht="18.0" customHeight="1">
      <c r="A12" s="203"/>
      <c r="B12" s="112" t="s">
        <v>1068</v>
      </c>
      <c r="C12" s="103">
        <v>2.2</v>
      </c>
      <c r="D12" s="104">
        <v>3.0</v>
      </c>
      <c r="E12" s="103">
        <v>9.0</v>
      </c>
      <c r="F12" s="104">
        <v>22.0</v>
      </c>
      <c r="G12" s="132">
        <v>50.0</v>
      </c>
      <c r="H12" s="232">
        <v>25.0</v>
      </c>
      <c r="I12" s="234"/>
      <c r="J12" s="107">
        <v>400.02</v>
      </c>
      <c r="K12" s="103" t="s">
        <v>35</v>
      </c>
      <c r="L12" s="109">
        <v>2900.0</v>
      </c>
      <c r="M12" s="109">
        <v>41.7</v>
      </c>
      <c r="N12" s="110">
        <f t="shared" ref="N12:N13" si="2">0.615*0.395*0.275</f>
        <v>0.066804375</v>
      </c>
      <c r="O12" s="185"/>
      <c r="P12" s="185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ht="18.0" customHeight="1">
      <c r="A13" s="33" t="s">
        <v>1069</v>
      </c>
      <c r="B13" s="112" t="s">
        <v>1070</v>
      </c>
      <c r="C13" s="103">
        <v>2.2</v>
      </c>
      <c r="D13" s="104">
        <v>3.0</v>
      </c>
      <c r="E13" s="103">
        <v>15.0</v>
      </c>
      <c r="F13" s="104">
        <v>20.0</v>
      </c>
      <c r="G13" s="132">
        <v>50.0</v>
      </c>
      <c r="H13" s="232">
        <v>25.0</v>
      </c>
      <c r="I13" s="234"/>
      <c r="J13" s="107">
        <v>400.02</v>
      </c>
      <c r="K13" s="103" t="s">
        <v>35</v>
      </c>
      <c r="L13" s="109">
        <v>2900.0</v>
      </c>
      <c r="M13" s="109">
        <v>41.8</v>
      </c>
      <c r="N13" s="110">
        <f t="shared" si="2"/>
        <v>0.066804375</v>
      </c>
      <c r="O13" s="185"/>
      <c r="P13" s="185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ht="18.0" customHeight="1">
      <c r="A14" s="203"/>
      <c r="B14" s="112" t="s">
        <v>1071</v>
      </c>
      <c r="C14" s="103">
        <v>3.0</v>
      </c>
      <c r="D14" s="104">
        <v>4.0</v>
      </c>
      <c r="E14" s="103">
        <v>15.0</v>
      </c>
      <c r="F14" s="104">
        <v>30.0</v>
      </c>
      <c r="G14" s="132">
        <v>50.0</v>
      </c>
      <c r="H14" s="232">
        <v>30.0</v>
      </c>
      <c r="I14" s="234"/>
      <c r="J14" s="107">
        <v>449.73999999999995</v>
      </c>
      <c r="K14" s="103" t="s">
        <v>35</v>
      </c>
      <c r="L14" s="109">
        <v>2900.0</v>
      </c>
      <c r="M14" s="109">
        <v>46.7</v>
      </c>
      <c r="N14" s="110">
        <f>0.65*0.395*0.275</f>
        <v>0.07060625</v>
      </c>
      <c r="O14" s="185"/>
      <c r="P14" s="185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ht="18.0" customHeight="1">
      <c r="A15" s="203"/>
      <c r="B15" s="112" t="s">
        <v>1072</v>
      </c>
      <c r="C15" s="103">
        <v>4.0</v>
      </c>
      <c r="D15" s="104">
        <v>5.5</v>
      </c>
      <c r="E15" s="103">
        <v>15.0</v>
      </c>
      <c r="F15" s="104">
        <v>35.0</v>
      </c>
      <c r="G15" s="132">
        <v>50.0</v>
      </c>
      <c r="H15" s="232">
        <v>20.0</v>
      </c>
      <c r="I15" s="234"/>
      <c r="J15" s="107">
        <v>602.29</v>
      </c>
      <c r="K15" s="103" t="s">
        <v>35</v>
      </c>
      <c r="L15" s="109">
        <v>2900.0</v>
      </c>
      <c r="M15" s="109">
        <v>67.5</v>
      </c>
      <c r="N15" s="110">
        <f>0.74*0.44*0.31</f>
        <v>0.100936</v>
      </c>
      <c r="O15" s="185"/>
      <c r="P15" s="185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ht="18.0" customHeight="1">
      <c r="A16" s="203"/>
      <c r="B16" s="112" t="s">
        <v>1073</v>
      </c>
      <c r="C16" s="103">
        <v>5.5</v>
      </c>
      <c r="D16" s="104">
        <v>7.5</v>
      </c>
      <c r="E16" s="103">
        <v>15.0</v>
      </c>
      <c r="F16" s="104">
        <v>40.0</v>
      </c>
      <c r="G16" s="132">
        <v>50.0</v>
      </c>
      <c r="H16" s="232">
        <v>20.0</v>
      </c>
      <c r="I16" s="234"/>
      <c r="J16" s="107">
        <v>775.18</v>
      </c>
      <c r="K16" s="103" t="s">
        <v>35</v>
      </c>
      <c r="L16" s="109">
        <v>2900.0</v>
      </c>
      <c r="M16" s="109">
        <v>72.5</v>
      </c>
      <c r="N16" s="110">
        <f>0.78*0.44*0.31</f>
        <v>0.106392</v>
      </c>
      <c r="O16" s="185"/>
      <c r="P16" s="185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ht="18.0" customHeight="1">
      <c r="A17" s="203"/>
      <c r="B17" s="112" t="s">
        <v>1074</v>
      </c>
      <c r="C17" s="103">
        <v>7.5</v>
      </c>
      <c r="D17" s="104">
        <v>10.0</v>
      </c>
      <c r="E17" s="103">
        <v>20.0</v>
      </c>
      <c r="F17" s="104">
        <v>45.0</v>
      </c>
      <c r="G17" s="132">
        <v>50.0</v>
      </c>
      <c r="H17" s="232">
        <v>20.0</v>
      </c>
      <c r="I17" s="234"/>
      <c r="J17" s="107">
        <v>1091.58</v>
      </c>
      <c r="K17" s="103" t="s">
        <v>35</v>
      </c>
      <c r="L17" s="109">
        <v>2900.0</v>
      </c>
      <c r="M17" s="109">
        <v>124.0</v>
      </c>
      <c r="N17" s="110">
        <f>0.83*0.48*0.36</f>
        <v>0.143424</v>
      </c>
      <c r="O17" s="185"/>
      <c r="P17" s="185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ht="18.0" customHeight="1">
      <c r="A18" s="203"/>
      <c r="B18" s="112" t="s">
        <v>1075</v>
      </c>
      <c r="C18" s="103">
        <v>1.1</v>
      </c>
      <c r="D18" s="104">
        <v>1.5</v>
      </c>
      <c r="E18" s="103">
        <v>15.0</v>
      </c>
      <c r="F18" s="104">
        <v>10.0</v>
      </c>
      <c r="G18" s="132">
        <v>65.0</v>
      </c>
      <c r="H18" s="232">
        <v>20.0</v>
      </c>
      <c r="I18" s="234">
        <v>257.64</v>
      </c>
      <c r="J18" s="107">
        <v>248.59999999999997</v>
      </c>
      <c r="K18" s="103" t="s">
        <v>35</v>
      </c>
      <c r="L18" s="109">
        <v>2900.0</v>
      </c>
      <c r="M18" s="109">
        <v>30.1</v>
      </c>
      <c r="N18" s="110">
        <f t="shared" ref="N18:N19" si="3">0.55*0.345*0.23</f>
        <v>0.0436425</v>
      </c>
      <c r="O18" s="185"/>
      <c r="P18" s="185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ht="18.0" customHeight="1">
      <c r="A19" s="203"/>
      <c r="B19" s="112" t="s">
        <v>1076</v>
      </c>
      <c r="C19" s="103">
        <v>1.5</v>
      </c>
      <c r="D19" s="104">
        <v>2.0</v>
      </c>
      <c r="E19" s="103">
        <v>25.0</v>
      </c>
      <c r="F19" s="104">
        <v>10.0</v>
      </c>
      <c r="G19" s="132">
        <v>65.0</v>
      </c>
      <c r="H19" s="232">
        <v>20.0</v>
      </c>
      <c r="I19" s="234">
        <v>290.40999999999997</v>
      </c>
      <c r="J19" s="107">
        <v>270.07</v>
      </c>
      <c r="K19" s="103" t="s">
        <v>35</v>
      </c>
      <c r="L19" s="109">
        <v>2900.0</v>
      </c>
      <c r="M19" s="109">
        <v>32.0</v>
      </c>
      <c r="N19" s="110">
        <f t="shared" si="3"/>
        <v>0.0436425</v>
      </c>
      <c r="O19" s="185"/>
      <c r="P19" s="185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ht="18.0" customHeight="1">
      <c r="A20" s="203"/>
      <c r="B20" s="112" t="s">
        <v>1077</v>
      </c>
      <c r="C20" s="103">
        <v>2.2</v>
      </c>
      <c r="D20" s="104">
        <v>3.0</v>
      </c>
      <c r="E20" s="103">
        <v>25.0</v>
      </c>
      <c r="F20" s="104">
        <v>17.0</v>
      </c>
      <c r="G20" s="132">
        <v>65.0</v>
      </c>
      <c r="H20" s="232">
        <v>25.0</v>
      </c>
      <c r="I20" s="234"/>
      <c r="J20" s="107">
        <v>400.02</v>
      </c>
      <c r="K20" s="103" t="s">
        <v>35</v>
      </c>
      <c r="L20" s="109">
        <v>2900.0</v>
      </c>
      <c r="M20" s="109">
        <v>44.9</v>
      </c>
      <c r="N20" s="110">
        <f>0.62*0.385*0.27</f>
        <v>0.064449</v>
      </c>
      <c r="O20" s="185"/>
      <c r="P20" s="185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ht="18.0" customHeight="1">
      <c r="A21" s="203"/>
      <c r="B21" s="112" t="s">
        <v>1078</v>
      </c>
      <c r="C21" s="103">
        <v>3.0</v>
      </c>
      <c r="D21" s="104">
        <v>4.0</v>
      </c>
      <c r="E21" s="103">
        <v>25.0</v>
      </c>
      <c r="F21" s="104">
        <v>22.0</v>
      </c>
      <c r="G21" s="132">
        <v>65.0</v>
      </c>
      <c r="H21" s="232">
        <v>25.0</v>
      </c>
      <c r="I21" s="234"/>
      <c r="J21" s="107">
        <v>449.73999999999995</v>
      </c>
      <c r="K21" s="103" t="s">
        <v>35</v>
      </c>
      <c r="L21" s="109">
        <v>2900.0</v>
      </c>
      <c r="M21" s="109">
        <v>48.3</v>
      </c>
      <c r="N21" s="110">
        <f>0.65*0.39*0.27</f>
        <v>0.068445</v>
      </c>
      <c r="O21" s="185"/>
      <c r="P21" s="185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ht="18.0" customHeight="1">
      <c r="A22" s="203"/>
      <c r="B22" s="112" t="s">
        <v>1079</v>
      </c>
      <c r="C22" s="103">
        <v>4.0</v>
      </c>
      <c r="D22" s="104">
        <v>5.5</v>
      </c>
      <c r="E22" s="103">
        <v>25.0</v>
      </c>
      <c r="F22" s="104">
        <v>28.0</v>
      </c>
      <c r="G22" s="132">
        <v>65.0</v>
      </c>
      <c r="H22" s="232">
        <v>25.0</v>
      </c>
      <c r="I22" s="234"/>
      <c r="J22" s="107">
        <v>602.29</v>
      </c>
      <c r="K22" s="103" t="s">
        <v>35</v>
      </c>
      <c r="L22" s="109">
        <v>2900.0</v>
      </c>
      <c r="M22" s="109">
        <v>67.0</v>
      </c>
      <c r="N22" s="110">
        <f>0.73*0.44*0.31</f>
        <v>0.099572</v>
      </c>
      <c r="O22" s="185"/>
      <c r="P22" s="185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ht="18.0" customHeight="1">
      <c r="A23" s="203"/>
      <c r="B23" s="112" t="s">
        <v>1080</v>
      </c>
      <c r="C23" s="103">
        <v>5.5</v>
      </c>
      <c r="D23" s="104">
        <v>7.5</v>
      </c>
      <c r="E23" s="103">
        <v>30.0</v>
      </c>
      <c r="F23" s="104">
        <v>30.0</v>
      </c>
      <c r="G23" s="132">
        <v>65.0</v>
      </c>
      <c r="H23" s="232">
        <v>25.0</v>
      </c>
      <c r="I23" s="234"/>
      <c r="J23" s="107">
        <v>775.18</v>
      </c>
      <c r="K23" s="103" t="s">
        <v>35</v>
      </c>
      <c r="L23" s="109">
        <v>2900.0</v>
      </c>
      <c r="M23" s="109">
        <v>72.1</v>
      </c>
      <c r="N23" s="110">
        <f>0.77*0.44*0.31</f>
        <v>0.105028</v>
      </c>
      <c r="O23" s="185"/>
      <c r="P23" s="185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ht="18.0" customHeight="1">
      <c r="A24" s="203"/>
      <c r="B24" s="112" t="s">
        <v>1081</v>
      </c>
      <c r="C24" s="103">
        <v>7.5</v>
      </c>
      <c r="D24" s="104">
        <v>10.0</v>
      </c>
      <c r="E24" s="103">
        <v>30.0</v>
      </c>
      <c r="F24" s="104">
        <v>35.0</v>
      </c>
      <c r="G24" s="132">
        <v>65.0</v>
      </c>
      <c r="H24" s="232">
        <v>25.0</v>
      </c>
      <c r="I24" s="234"/>
      <c r="J24" s="107">
        <v>1091.58</v>
      </c>
      <c r="K24" s="103" t="s">
        <v>35</v>
      </c>
      <c r="L24" s="109">
        <v>2900.0</v>
      </c>
      <c r="M24" s="109">
        <v>125.0</v>
      </c>
      <c r="N24" s="110">
        <f>0.835*0.495*0.36</f>
        <v>0.148797</v>
      </c>
      <c r="O24" s="185"/>
      <c r="P24" s="185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ht="18.0" customHeight="1">
      <c r="A25" s="203"/>
      <c r="B25" s="112" t="s">
        <v>1082</v>
      </c>
      <c r="C25" s="103">
        <v>2.2</v>
      </c>
      <c r="D25" s="104">
        <v>3.0</v>
      </c>
      <c r="E25" s="103">
        <v>45.0</v>
      </c>
      <c r="F25" s="104">
        <v>9.0</v>
      </c>
      <c r="G25" s="132">
        <v>80.0</v>
      </c>
      <c r="H25" s="232">
        <v>30.0</v>
      </c>
      <c r="I25" s="234"/>
      <c r="J25" s="107">
        <v>404.53999999999996</v>
      </c>
      <c r="K25" s="103" t="s">
        <v>35</v>
      </c>
      <c r="L25" s="109">
        <v>2900.0</v>
      </c>
      <c r="M25" s="109">
        <v>47.4</v>
      </c>
      <c r="N25" s="110">
        <f>0.64*0.42*0.275</f>
        <v>0.07392</v>
      </c>
      <c r="O25" s="185"/>
      <c r="P25" s="185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ht="18.0" customHeight="1">
      <c r="A26" s="203"/>
      <c r="B26" s="112" t="s">
        <v>1083</v>
      </c>
      <c r="C26" s="103">
        <v>3.0</v>
      </c>
      <c r="D26" s="104">
        <v>4.0</v>
      </c>
      <c r="E26" s="103">
        <v>43.0</v>
      </c>
      <c r="F26" s="104">
        <v>13.0</v>
      </c>
      <c r="G26" s="132">
        <v>80.0</v>
      </c>
      <c r="H26" s="232">
        <v>30.0</v>
      </c>
      <c r="I26" s="234"/>
      <c r="J26" s="107">
        <v>454.25999999999993</v>
      </c>
      <c r="K26" s="103" t="s">
        <v>35</v>
      </c>
      <c r="L26" s="109">
        <v>2900.0</v>
      </c>
      <c r="M26" s="109">
        <v>50.3</v>
      </c>
      <c r="N26" s="110">
        <f>0.675*0.42*0.275</f>
        <v>0.0779625</v>
      </c>
      <c r="O26" s="185"/>
      <c r="P26" s="185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ht="18.0" customHeight="1">
      <c r="A27" s="203"/>
      <c r="B27" s="112" t="s">
        <v>1084</v>
      </c>
      <c r="C27" s="103">
        <v>4.0</v>
      </c>
      <c r="D27" s="104">
        <v>5.5</v>
      </c>
      <c r="E27" s="103">
        <v>40.0</v>
      </c>
      <c r="F27" s="104">
        <v>18.0</v>
      </c>
      <c r="G27" s="132">
        <v>80.0</v>
      </c>
      <c r="H27" s="232">
        <v>30.0</v>
      </c>
      <c r="I27" s="234"/>
      <c r="J27" s="107">
        <v>606.81</v>
      </c>
      <c r="K27" s="103" t="s">
        <v>35</v>
      </c>
      <c r="L27" s="109">
        <v>2900.0</v>
      </c>
      <c r="M27" s="109">
        <v>67.0</v>
      </c>
      <c r="N27" s="110">
        <f>0.73*0.46*0.31</f>
        <v>0.104098</v>
      </c>
      <c r="O27" s="185"/>
      <c r="P27" s="185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ht="18.0" customHeight="1">
      <c r="A28" s="203"/>
      <c r="B28" s="112" t="s">
        <v>1085</v>
      </c>
      <c r="C28" s="103">
        <v>5.5</v>
      </c>
      <c r="D28" s="104">
        <v>7.5</v>
      </c>
      <c r="E28" s="103">
        <v>30.0</v>
      </c>
      <c r="F28" s="104">
        <v>30.0</v>
      </c>
      <c r="G28" s="132">
        <v>80.0</v>
      </c>
      <c r="H28" s="232">
        <v>30.0</v>
      </c>
      <c r="I28" s="234"/>
      <c r="J28" s="107">
        <v>784.2199999999999</v>
      </c>
      <c r="K28" s="103" t="s">
        <v>35</v>
      </c>
      <c r="L28" s="109">
        <v>2900.0</v>
      </c>
      <c r="M28" s="109">
        <v>74.4</v>
      </c>
      <c r="N28" s="110">
        <f>0.77*0.46*0.31</f>
        <v>0.109802</v>
      </c>
      <c r="O28" s="185"/>
      <c r="P28" s="185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ht="18.0" customHeight="1">
      <c r="A29" s="203"/>
      <c r="B29" s="112" t="s">
        <v>1086</v>
      </c>
      <c r="C29" s="103">
        <v>7.5</v>
      </c>
      <c r="D29" s="104">
        <v>10.0</v>
      </c>
      <c r="E29" s="103">
        <v>30.0</v>
      </c>
      <c r="F29" s="104">
        <v>36.0</v>
      </c>
      <c r="G29" s="132">
        <v>80.0</v>
      </c>
      <c r="H29" s="232">
        <v>30.0</v>
      </c>
      <c r="I29" s="234"/>
      <c r="J29" s="107">
        <v>1091.58</v>
      </c>
      <c r="K29" s="103" t="s">
        <v>35</v>
      </c>
      <c r="L29" s="109">
        <v>2900.0</v>
      </c>
      <c r="M29" s="109">
        <v>127.0</v>
      </c>
      <c r="N29" s="110">
        <f>0.835*0.5*0.36</f>
        <v>0.1503</v>
      </c>
      <c r="O29" s="185"/>
      <c r="P29" s="185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ht="18.0" customHeight="1">
      <c r="A30" s="203"/>
      <c r="B30" s="112" t="s">
        <v>1087</v>
      </c>
      <c r="C30" s="103">
        <v>3.0</v>
      </c>
      <c r="D30" s="104">
        <v>4.0</v>
      </c>
      <c r="E30" s="103">
        <v>60.0</v>
      </c>
      <c r="F30" s="104">
        <v>9.0</v>
      </c>
      <c r="G30" s="132">
        <v>100.0</v>
      </c>
      <c r="H30" s="232">
        <v>35.0</v>
      </c>
      <c r="I30" s="234"/>
      <c r="J30" s="107">
        <v>454.25999999999993</v>
      </c>
      <c r="K30" s="103" t="s">
        <v>35</v>
      </c>
      <c r="L30" s="109">
        <v>2900.0</v>
      </c>
      <c r="M30" s="109">
        <v>53.2</v>
      </c>
      <c r="N30" s="110">
        <f>0.675*0.45*0.275</f>
        <v>0.08353125</v>
      </c>
      <c r="O30" s="185"/>
      <c r="P30" s="185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ht="18.0" customHeight="1">
      <c r="A31" s="203"/>
      <c r="B31" s="112" t="s">
        <v>1088</v>
      </c>
      <c r="C31" s="103">
        <v>4.0</v>
      </c>
      <c r="D31" s="104">
        <v>5.5</v>
      </c>
      <c r="E31" s="103">
        <v>60.0</v>
      </c>
      <c r="F31" s="104">
        <v>13.0</v>
      </c>
      <c r="G31" s="132">
        <v>100.0</v>
      </c>
      <c r="H31" s="232">
        <v>35.0</v>
      </c>
      <c r="I31" s="234"/>
      <c r="J31" s="107">
        <v>606.81</v>
      </c>
      <c r="K31" s="103" t="s">
        <v>35</v>
      </c>
      <c r="L31" s="109">
        <v>2900.0</v>
      </c>
      <c r="M31" s="109">
        <v>77.0</v>
      </c>
      <c r="N31" s="110">
        <f>0.765*0.495*0.36</f>
        <v>0.136323</v>
      </c>
      <c r="O31" s="185"/>
      <c r="P31" s="185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ht="18.0" customHeight="1">
      <c r="A32" s="203"/>
      <c r="B32" s="112" t="s">
        <v>1089</v>
      </c>
      <c r="C32" s="103">
        <v>5.5</v>
      </c>
      <c r="D32" s="104">
        <v>7.5</v>
      </c>
      <c r="E32" s="103">
        <v>65.0</v>
      </c>
      <c r="F32" s="104">
        <v>15.0</v>
      </c>
      <c r="G32" s="132">
        <v>100.0</v>
      </c>
      <c r="H32" s="232">
        <v>35.0</v>
      </c>
      <c r="I32" s="234"/>
      <c r="J32" s="107">
        <v>792.1299999999999</v>
      </c>
      <c r="K32" s="103" t="s">
        <v>35</v>
      </c>
      <c r="L32" s="109">
        <v>2900.0</v>
      </c>
      <c r="M32" s="109">
        <v>81.6</v>
      </c>
      <c r="N32" s="110">
        <f>0.805*0.495*0.36</f>
        <v>0.143451</v>
      </c>
      <c r="O32" s="185"/>
      <c r="P32" s="185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ht="18.0" customHeight="1">
      <c r="A33" s="203"/>
      <c r="B33" s="112" t="s">
        <v>1090</v>
      </c>
      <c r="C33" s="103">
        <v>7.5</v>
      </c>
      <c r="D33" s="104">
        <v>10.0</v>
      </c>
      <c r="E33" s="103">
        <v>65.0</v>
      </c>
      <c r="F33" s="104">
        <v>22.0</v>
      </c>
      <c r="G33" s="132">
        <v>100.0</v>
      </c>
      <c r="H33" s="232">
        <v>35.0</v>
      </c>
      <c r="I33" s="234"/>
      <c r="J33" s="107">
        <v>1100.62</v>
      </c>
      <c r="K33" s="103" t="s">
        <v>35</v>
      </c>
      <c r="L33" s="109">
        <v>2900.0</v>
      </c>
      <c r="M33" s="109">
        <v>132.0</v>
      </c>
      <c r="N33" s="110">
        <f>0.86*0.535*0.37</f>
        <v>0.170237</v>
      </c>
      <c r="O33" s="185"/>
      <c r="P33" s="185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ht="18.0" customHeight="1">
      <c r="A34" s="203"/>
      <c r="B34" s="112" t="s">
        <v>1091</v>
      </c>
      <c r="C34" s="103">
        <v>5.5</v>
      </c>
      <c r="D34" s="104">
        <v>7.5</v>
      </c>
      <c r="E34" s="103">
        <v>100.0</v>
      </c>
      <c r="F34" s="104">
        <v>7.0</v>
      </c>
      <c r="G34" s="132">
        <v>150.0</v>
      </c>
      <c r="H34" s="232">
        <v>40.0</v>
      </c>
      <c r="I34" s="234"/>
      <c r="J34" s="107">
        <v>792.1299999999999</v>
      </c>
      <c r="K34" s="103" t="s">
        <v>35</v>
      </c>
      <c r="L34" s="109">
        <v>2900.0</v>
      </c>
      <c r="M34" s="109">
        <v>92.7</v>
      </c>
      <c r="N34" s="110">
        <f>0.81*0.585*0.36</f>
        <v>0.170586</v>
      </c>
      <c r="O34" s="185"/>
      <c r="P34" s="185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ht="18.0" customHeight="1">
      <c r="A35" s="203"/>
      <c r="B35" s="112" t="s">
        <v>1092</v>
      </c>
      <c r="C35" s="103">
        <v>7.5</v>
      </c>
      <c r="D35" s="104">
        <v>10.0</v>
      </c>
      <c r="E35" s="103">
        <v>100.0</v>
      </c>
      <c r="F35" s="104">
        <v>10.0</v>
      </c>
      <c r="G35" s="132">
        <v>150.0</v>
      </c>
      <c r="H35" s="232">
        <v>40.0</v>
      </c>
      <c r="I35" s="234"/>
      <c r="J35" s="107">
        <v>1100.62</v>
      </c>
      <c r="K35" s="103" t="s">
        <v>35</v>
      </c>
      <c r="L35" s="109">
        <v>2900.0</v>
      </c>
      <c r="M35" s="109">
        <v>142.0</v>
      </c>
      <c r="N35" s="110">
        <f>0.865*0.61*0.365</f>
        <v>0.19259225</v>
      </c>
      <c r="O35" s="185"/>
      <c r="P35" s="185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ht="7.5" customHeight="1">
      <c r="A36" s="194"/>
      <c r="B36" s="195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85"/>
      <c r="P36" s="185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ht="24.75" customHeight="1">
      <c r="A37" s="194"/>
      <c r="B37" s="73" t="s">
        <v>124</v>
      </c>
      <c r="C37" s="74" t="s">
        <v>125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185"/>
      <c r="P37" s="185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ht="24.75" customHeight="1">
      <c r="A38" s="194"/>
      <c r="B38" s="78" t="s">
        <v>126</v>
      </c>
      <c r="C38" s="79" t="s">
        <v>898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185"/>
      <c r="P38" s="185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ht="24.75" customHeight="1">
      <c r="A39" s="194"/>
      <c r="B39" s="78" t="s">
        <v>128</v>
      </c>
      <c r="C39" s="79" t="s">
        <v>1093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185"/>
      <c r="P39" s="185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ht="24.75" customHeight="1">
      <c r="A40" s="194"/>
      <c r="B40" s="82" t="s">
        <v>130</v>
      </c>
      <c r="C40" s="79" t="s">
        <v>131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185"/>
      <c r="P40" s="185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ht="24.75" customHeight="1">
      <c r="A41" s="194"/>
      <c r="B41" s="82" t="s">
        <v>613</v>
      </c>
      <c r="C41" s="85" t="s">
        <v>1094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185"/>
      <c r="P41" s="185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ht="15.75" customHeight="1">
      <c r="A42" s="194"/>
      <c r="B42" s="195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85"/>
      <c r="P42" s="185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ht="31.5" customHeight="1">
      <c r="A43" s="33"/>
      <c r="B43" s="14" t="s">
        <v>1095</v>
      </c>
      <c r="C43" s="115"/>
      <c r="D43" s="115"/>
      <c r="E43" s="115"/>
      <c r="F43" s="115"/>
      <c r="G43" s="115"/>
      <c r="H43" s="115"/>
      <c r="I43" s="115"/>
      <c r="J43" s="115"/>
      <c r="K43" s="115"/>
      <c r="L43" s="235"/>
      <c r="M43" s="236"/>
      <c r="N43" s="236"/>
      <c r="O43" s="185"/>
      <c r="P43" s="185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ht="6.0" customHeight="1">
      <c r="A44" s="194"/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194"/>
      <c r="M44" s="194"/>
      <c r="N44" s="194"/>
      <c r="O44" s="185"/>
      <c r="P44" s="185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ht="18.0" customHeight="1">
      <c r="A45" s="203"/>
      <c r="B45" s="204" t="s">
        <v>3</v>
      </c>
      <c r="C45" s="23" t="s">
        <v>4</v>
      </c>
      <c r="D45" s="24"/>
      <c r="E45" s="205" t="s">
        <v>5</v>
      </c>
      <c r="F45" s="26"/>
      <c r="G45" s="206" t="s">
        <v>6</v>
      </c>
      <c r="H45" s="207" t="s">
        <v>1057</v>
      </c>
      <c r="I45" s="237" t="s">
        <v>7</v>
      </c>
      <c r="J45" s="26"/>
      <c r="K45" s="209" t="s">
        <v>1058</v>
      </c>
      <c r="L45" s="210" t="s">
        <v>9</v>
      </c>
      <c r="M45" s="211" t="s">
        <v>10</v>
      </c>
      <c r="N45" s="211" t="s">
        <v>11</v>
      </c>
      <c r="O45" s="185"/>
      <c r="P45" s="185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ht="18.0" customHeight="1">
      <c r="A46" s="203"/>
      <c r="B46" s="213"/>
      <c r="C46" s="35"/>
      <c r="D46" s="36"/>
      <c r="E46" s="214" t="s">
        <v>960</v>
      </c>
      <c r="F46" s="123"/>
      <c r="G46" s="215"/>
      <c r="H46" s="216"/>
      <c r="I46" s="238"/>
      <c r="J46" s="123"/>
      <c r="K46" s="218" t="s">
        <v>1059</v>
      </c>
      <c r="L46" s="219"/>
      <c r="M46" s="202"/>
      <c r="N46" s="202"/>
      <c r="O46" s="185"/>
      <c r="P46" s="185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ht="18.0" customHeight="1">
      <c r="A47" s="203"/>
      <c r="B47" s="220"/>
      <c r="C47" s="221" t="s">
        <v>15</v>
      </c>
      <c r="D47" s="222" t="s">
        <v>16</v>
      </c>
      <c r="E47" s="223" t="s">
        <v>1060</v>
      </c>
      <c r="F47" s="224" t="s">
        <v>1061</v>
      </c>
      <c r="G47" s="225" t="s">
        <v>19</v>
      </c>
      <c r="H47" s="226"/>
      <c r="I47" s="174" t="s">
        <v>20</v>
      </c>
      <c r="J47" s="166" t="s">
        <v>21</v>
      </c>
      <c r="K47" s="221" t="s">
        <v>1062</v>
      </c>
      <c r="L47" s="229" t="s">
        <v>22</v>
      </c>
      <c r="M47" s="230" t="s">
        <v>23</v>
      </c>
      <c r="N47" s="231" t="s">
        <v>24</v>
      </c>
      <c r="O47" s="185"/>
      <c r="P47" s="185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ht="15.75" customHeight="1">
      <c r="A48" s="203"/>
      <c r="B48" s="112" t="s">
        <v>1096</v>
      </c>
      <c r="C48" s="103">
        <v>11.0</v>
      </c>
      <c r="D48" s="104">
        <v>15.0</v>
      </c>
      <c r="E48" s="103">
        <v>25.0</v>
      </c>
      <c r="F48" s="104">
        <v>45.0</v>
      </c>
      <c r="G48" s="132">
        <v>65.0</v>
      </c>
      <c r="H48" s="232">
        <v>25.0</v>
      </c>
      <c r="I48" s="239"/>
      <c r="J48" s="107">
        <v>1327.7499999999998</v>
      </c>
      <c r="K48" s="103" t="s">
        <v>35</v>
      </c>
      <c r="L48" s="109">
        <v>2900.0</v>
      </c>
      <c r="M48" s="109">
        <v>187.0</v>
      </c>
      <c r="N48" s="110">
        <v>0.223872</v>
      </c>
      <c r="O48" s="185"/>
      <c r="P48" s="185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ht="15.75" customHeight="1">
      <c r="A49" s="203"/>
      <c r="B49" s="112" t="s">
        <v>1097</v>
      </c>
      <c r="C49" s="103">
        <v>11.0</v>
      </c>
      <c r="D49" s="104">
        <v>15.0</v>
      </c>
      <c r="E49" s="103">
        <v>45.0</v>
      </c>
      <c r="F49" s="104">
        <v>40.0</v>
      </c>
      <c r="G49" s="132">
        <v>80.0</v>
      </c>
      <c r="H49" s="232">
        <v>30.0</v>
      </c>
      <c r="I49" s="239"/>
      <c r="J49" s="107">
        <v>1327.7499999999998</v>
      </c>
      <c r="K49" s="103" t="s">
        <v>35</v>
      </c>
      <c r="L49" s="109">
        <v>2900.0</v>
      </c>
      <c r="M49" s="109">
        <v>187.0</v>
      </c>
      <c r="N49" s="110">
        <v>0.223872</v>
      </c>
      <c r="O49" s="185"/>
      <c r="P49" s="185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ht="15.75" customHeight="1">
      <c r="A50" s="194"/>
      <c r="B50" s="112" t="s">
        <v>1098</v>
      </c>
      <c r="C50" s="103">
        <v>11.0</v>
      </c>
      <c r="D50" s="104">
        <v>15.0</v>
      </c>
      <c r="E50" s="103">
        <v>100.0</v>
      </c>
      <c r="F50" s="104">
        <v>25.0</v>
      </c>
      <c r="G50" s="132">
        <v>100.0</v>
      </c>
      <c r="H50" s="232">
        <v>35.0</v>
      </c>
      <c r="I50" s="239"/>
      <c r="J50" s="107">
        <v>1327.7499999999998</v>
      </c>
      <c r="K50" s="103" t="s">
        <v>35</v>
      </c>
      <c r="L50" s="109">
        <v>2900.0</v>
      </c>
      <c r="M50" s="109">
        <v>187.0</v>
      </c>
      <c r="N50" s="110">
        <v>0.223872</v>
      </c>
      <c r="O50" s="185"/>
      <c r="P50" s="185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ht="15.75" customHeight="1">
      <c r="A51" s="194"/>
      <c r="B51" s="112" t="s">
        <v>1099</v>
      </c>
      <c r="C51" s="103">
        <v>11.0</v>
      </c>
      <c r="D51" s="104">
        <v>15.0</v>
      </c>
      <c r="E51" s="103">
        <v>150.0</v>
      </c>
      <c r="F51" s="104">
        <v>15.0</v>
      </c>
      <c r="G51" s="132">
        <v>150.0</v>
      </c>
      <c r="H51" s="232">
        <v>45.0</v>
      </c>
      <c r="I51" s="239"/>
      <c r="J51" s="107">
        <v>1350.35</v>
      </c>
      <c r="K51" s="103" t="s">
        <v>35</v>
      </c>
      <c r="L51" s="109">
        <v>2900.0</v>
      </c>
      <c r="M51" s="109">
        <v>192.0</v>
      </c>
      <c r="N51" s="110">
        <v>0.223872</v>
      </c>
      <c r="O51" s="185"/>
      <c r="P51" s="185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ht="15.75" customHeight="1">
      <c r="A52" s="194"/>
      <c r="B52" s="112" t="s">
        <v>1100</v>
      </c>
      <c r="C52" s="103">
        <v>11.0</v>
      </c>
      <c r="D52" s="104">
        <v>15.0</v>
      </c>
      <c r="E52" s="103">
        <v>210.0</v>
      </c>
      <c r="F52" s="104">
        <v>7.0</v>
      </c>
      <c r="G52" s="132">
        <v>200.0</v>
      </c>
      <c r="H52" s="232">
        <v>50.0</v>
      </c>
      <c r="I52" s="239"/>
      <c r="J52" s="107">
        <v>1350.35</v>
      </c>
      <c r="K52" s="103" t="s">
        <v>35</v>
      </c>
      <c r="L52" s="109">
        <v>2900.0</v>
      </c>
      <c r="M52" s="109">
        <v>201.0</v>
      </c>
      <c r="N52" s="110">
        <v>0.229068</v>
      </c>
      <c r="O52" s="185"/>
      <c r="P52" s="185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ht="15.75" customHeight="1">
      <c r="A53" s="203"/>
      <c r="B53" s="112" t="s">
        <v>1101</v>
      </c>
      <c r="C53" s="103">
        <v>15.0</v>
      </c>
      <c r="D53" s="104">
        <v>20.0</v>
      </c>
      <c r="E53" s="103">
        <v>25.0</v>
      </c>
      <c r="F53" s="104">
        <v>60.0</v>
      </c>
      <c r="G53" s="132">
        <v>65.0</v>
      </c>
      <c r="H53" s="232">
        <v>25.0</v>
      </c>
      <c r="I53" s="239"/>
      <c r="J53" s="107">
        <v>1652.06</v>
      </c>
      <c r="K53" s="103" t="s">
        <v>35</v>
      </c>
      <c r="L53" s="109">
        <v>2900.0</v>
      </c>
      <c r="M53" s="109">
        <v>208.0</v>
      </c>
      <c r="N53" s="110">
        <v>0.2332</v>
      </c>
      <c r="O53" s="185"/>
      <c r="P53" s="185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ht="15.75" customHeight="1">
      <c r="A54" s="203"/>
      <c r="B54" s="112" t="s">
        <v>1102</v>
      </c>
      <c r="C54" s="103">
        <v>15.0</v>
      </c>
      <c r="D54" s="104">
        <v>20.0</v>
      </c>
      <c r="E54" s="103">
        <v>40.0</v>
      </c>
      <c r="F54" s="104">
        <v>50.0</v>
      </c>
      <c r="G54" s="132">
        <v>80.0</v>
      </c>
      <c r="H54" s="232">
        <v>30.0</v>
      </c>
      <c r="I54" s="239"/>
      <c r="J54" s="107">
        <v>1652.06</v>
      </c>
      <c r="K54" s="103" t="s">
        <v>35</v>
      </c>
      <c r="L54" s="109">
        <v>2900.0</v>
      </c>
      <c r="M54" s="109">
        <v>208.0</v>
      </c>
      <c r="N54" s="110">
        <v>0.2332</v>
      </c>
      <c r="O54" s="185"/>
      <c r="P54" s="185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ht="15.75" customHeight="1">
      <c r="A55" s="203"/>
      <c r="B55" s="112" t="s">
        <v>1103</v>
      </c>
      <c r="C55" s="103">
        <v>15.0</v>
      </c>
      <c r="D55" s="104">
        <v>20.0</v>
      </c>
      <c r="E55" s="103">
        <v>100.0</v>
      </c>
      <c r="F55" s="104">
        <v>30.0</v>
      </c>
      <c r="G55" s="132">
        <v>100.0</v>
      </c>
      <c r="H55" s="232">
        <v>35.0</v>
      </c>
      <c r="I55" s="239"/>
      <c r="J55" s="107">
        <v>1652.06</v>
      </c>
      <c r="K55" s="103" t="s">
        <v>35</v>
      </c>
      <c r="L55" s="109">
        <v>2900.0</v>
      </c>
      <c r="M55" s="109">
        <v>208.0</v>
      </c>
      <c r="N55" s="110">
        <v>0.2332</v>
      </c>
      <c r="O55" s="185"/>
      <c r="P55" s="185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ht="15.75" customHeight="1">
      <c r="A56" s="203"/>
      <c r="B56" s="112" t="s">
        <v>1104</v>
      </c>
      <c r="C56" s="103">
        <v>15.0</v>
      </c>
      <c r="D56" s="104">
        <v>20.0</v>
      </c>
      <c r="E56" s="103">
        <v>150.0</v>
      </c>
      <c r="F56" s="104">
        <v>20.0</v>
      </c>
      <c r="G56" s="132">
        <v>150.0</v>
      </c>
      <c r="H56" s="232">
        <v>45.0</v>
      </c>
      <c r="I56" s="239"/>
      <c r="J56" s="107">
        <v>1708.56</v>
      </c>
      <c r="K56" s="103" t="s">
        <v>35</v>
      </c>
      <c r="L56" s="109">
        <v>2900.0</v>
      </c>
      <c r="M56" s="109">
        <v>208.0</v>
      </c>
      <c r="N56" s="110">
        <v>0.22932</v>
      </c>
      <c r="O56" s="185"/>
      <c r="P56" s="185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ht="15.75" customHeight="1">
      <c r="A57" s="33" t="s">
        <v>1105</v>
      </c>
      <c r="B57" s="112" t="s">
        <v>1106</v>
      </c>
      <c r="C57" s="103">
        <v>15.0</v>
      </c>
      <c r="D57" s="104">
        <v>20.0</v>
      </c>
      <c r="E57" s="103">
        <v>220.0</v>
      </c>
      <c r="F57" s="104">
        <v>12.0</v>
      </c>
      <c r="G57" s="132">
        <v>200.0</v>
      </c>
      <c r="H57" s="232">
        <v>50.0</v>
      </c>
      <c r="I57" s="239"/>
      <c r="J57" s="107">
        <v>1708.56</v>
      </c>
      <c r="K57" s="103" t="s">
        <v>35</v>
      </c>
      <c r="L57" s="109">
        <v>2900.0</v>
      </c>
      <c r="M57" s="109">
        <v>208.0</v>
      </c>
      <c r="N57" s="110">
        <v>0.23814</v>
      </c>
      <c r="O57" s="185"/>
      <c r="P57" s="185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ht="15.75" customHeight="1">
      <c r="A58" s="240"/>
      <c r="B58" s="112" t="s">
        <v>1107</v>
      </c>
      <c r="C58" s="103">
        <v>18.5</v>
      </c>
      <c r="D58" s="104">
        <v>25.0</v>
      </c>
      <c r="E58" s="103">
        <v>60.0</v>
      </c>
      <c r="F58" s="104">
        <v>45.0</v>
      </c>
      <c r="G58" s="132">
        <v>80.0</v>
      </c>
      <c r="H58" s="232">
        <v>30.0</v>
      </c>
      <c r="I58" s="239"/>
      <c r="J58" s="179">
        <v>2236.27</v>
      </c>
      <c r="K58" s="103" t="s">
        <v>35</v>
      </c>
      <c r="L58" s="109">
        <v>2900.0</v>
      </c>
      <c r="M58" s="109">
        <v>222.0</v>
      </c>
      <c r="N58" s="110">
        <v>0.23814</v>
      </c>
      <c r="O58" s="185"/>
      <c r="P58" s="185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ht="15.75" customHeight="1">
      <c r="A59" s="240"/>
      <c r="B59" s="112" t="s">
        <v>1108</v>
      </c>
      <c r="C59" s="103">
        <v>18.5</v>
      </c>
      <c r="D59" s="104">
        <v>25.0</v>
      </c>
      <c r="E59" s="103">
        <v>100.0</v>
      </c>
      <c r="F59" s="104">
        <v>35.0</v>
      </c>
      <c r="G59" s="132">
        <v>100.0</v>
      </c>
      <c r="H59" s="232">
        <v>35.0</v>
      </c>
      <c r="I59" s="239"/>
      <c r="J59" s="107">
        <v>2236.27</v>
      </c>
      <c r="K59" s="103" t="s">
        <v>35</v>
      </c>
      <c r="L59" s="109">
        <v>2900.0</v>
      </c>
      <c r="M59" s="109">
        <v>222.0</v>
      </c>
      <c r="N59" s="110">
        <v>0.23814</v>
      </c>
      <c r="O59" s="185"/>
      <c r="P59" s="185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ht="15.75" customHeight="1">
      <c r="A60" s="212"/>
      <c r="B60" s="112" t="s">
        <v>1109</v>
      </c>
      <c r="C60" s="103">
        <v>18.5</v>
      </c>
      <c r="D60" s="104">
        <v>25.0</v>
      </c>
      <c r="E60" s="103">
        <v>130.0</v>
      </c>
      <c r="F60" s="104">
        <v>25.0</v>
      </c>
      <c r="G60" s="132">
        <v>150.0</v>
      </c>
      <c r="H60" s="232">
        <v>45.0</v>
      </c>
      <c r="I60" s="239"/>
      <c r="J60" s="107">
        <v>2257.74</v>
      </c>
      <c r="K60" s="103" t="s">
        <v>35</v>
      </c>
      <c r="L60" s="109">
        <v>2900.0</v>
      </c>
      <c r="M60" s="109">
        <v>222.0</v>
      </c>
      <c r="N60" s="110">
        <v>0.23814</v>
      </c>
      <c r="O60" s="185"/>
      <c r="P60" s="185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ht="15.75" customHeight="1">
      <c r="A61" s="203"/>
      <c r="B61" s="112" t="s">
        <v>1110</v>
      </c>
      <c r="C61" s="103">
        <v>18.5</v>
      </c>
      <c r="D61" s="104">
        <v>25.0</v>
      </c>
      <c r="E61" s="103">
        <v>200.0</v>
      </c>
      <c r="F61" s="104">
        <v>15.0</v>
      </c>
      <c r="G61" s="132">
        <v>200.0</v>
      </c>
      <c r="H61" s="232">
        <v>55.0</v>
      </c>
      <c r="I61" s="239"/>
      <c r="J61" s="107">
        <v>2257.74</v>
      </c>
      <c r="K61" s="103" t="s">
        <v>35</v>
      </c>
      <c r="L61" s="109">
        <v>2900.0</v>
      </c>
      <c r="M61" s="109">
        <v>222.0</v>
      </c>
      <c r="N61" s="110">
        <v>0.23814</v>
      </c>
      <c r="O61" s="185"/>
      <c r="P61" s="185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ht="15.75" customHeight="1">
      <c r="A62" s="203"/>
      <c r="B62" s="112" t="s">
        <v>1111</v>
      </c>
      <c r="C62" s="103">
        <v>22.0</v>
      </c>
      <c r="D62" s="104">
        <v>30.0</v>
      </c>
      <c r="E62" s="103">
        <v>60.0</v>
      </c>
      <c r="F62" s="104">
        <v>50.0</v>
      </c>
      <c r="G62" s="132">
        <v>80.0</v>
      </c>
      <c r="H62" s="232">
        <v>30.0</v>
      </c>
      <c r="I62" s="239"/>
      <c r="J62" s="179">
        <v>2383.1699999999996</v>
      </c>
      <c r="K62" s="103" t="s">
        <v>35</v>
      </c>
      <c r="L62" s="109">
        <v>2900.0</v>
      </c>
      <c r="M62" s="109">
        <v>292.0</v>
      </c>
      <c r="N62" s="110">
        <v>0.3036</v>
      </c>
      <c r="O62" s="185"/>
      <c r="P62" s="185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ht="15.75" customHeight="1">
      <c r="A63" s="203"/>
      <c r="B63" s="112" t="s">
        <v>1112</v>
      </c>
      <c r="C63" s="103">
        <v>22.0</v>
      </c>
      <c r="D63" s="104">
        <v>30.0</v>
      </c>
      <c r="E63" s="103">
        <v>100.0</v>
      </c>
      <c r="F63" s="104">
        <v>40.0</v>
      </c>
      <c r="G63" s="132">
        <v>100.0</v>
      </c>
      <c r="H63" s="232">
        <v>35.0</v>
      </c>
      <c r="I63" s="239"/>
      <c r="J63" s="179">
        <v>2383.1699999999996</v>
      </c>
      <c r="K63" s="103" t="s">
        <v>35</v>
      </c>
      <c r="L63" s="109">
        <v>2900.0</v>
      </c>
      <c r="M63" s="109">
        <v>292.0</v>
      </c>
      <c r="N63" s="110">
        <v>0.3036</v>
      </c>
      <c r="O63" s="185"/>
      <c r="P63" s="185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ht="15.75" customHeight="1">
      <c r="A64" s="203"/>
      <c r="B64" s="112" t="s">
        <v>1113</v>
      </c>
      <c r="C64" s="103">
        <v>22.0</v>
      </c>
      <c r="D64" s="104">
        <v>30.0</v>
      </c>
      <c r="E64" s="103">
        <v>130.0</v>
      </c>
      <c r="F64" s="104">
        <v>30.0</v>
      </c>
      <c r="G64" s="132">
        <v>150.0</v>
      </c>
      <c r="H64" s="232">
        <v>45.0</v>
      </c>
      <c r="I64" s="239"/>
      <c r="J64" s="179">
        <v>2404.64</v>
      </c>
      <c r="K64" s="103" t="s">
        <v>35</v>
      </c>
      <c r="L64" s="109">
        <v>2900.0</v>
      </c>
      <c r="M64" s="109">
        <v>292.0</v>
      </c>
      <c r="N64" s="110">
        <v>0.3036</v>
      </c>
      <c r="O64" s="185"/>
      <c r="P64" s="185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ht="15.75" customHeight="1">
      <c r="A65" s="203"/>
      <c r="B65" s="112" t="s">
        <v>1114</v>
      </c>
      <c r="C65" s="103">
        <v>22.0</v>
      </c>
      <c r="D65" s="104">
        <v>30.0</v>
      </c>
      <c r="E65" s="103">
        <v>200.0</v>
      </c>
      <c r="F65" s="104">
        <v>20.0</v>
      </c>
      <c r="G65" s="132">
        <v>200.0</v>
      </c>
      <c r="H65" s="232">
        <v>50.0</v>
      </c>
      <c r="I65" s="239"/>
      <c r="J65" s="179">
        <v>2404.64</v>
      </c>
      <c r="K65" s="103" t="s">
        <v>35</v>
      </c>
      <c r="L65" s="109">
        <v>2900.0</v>
      </c>
      <c r="M65" s="109">
        <v>292.0</v>
      </c>
      <c r="N65" s="110">
        <v>0.3036</v>
      </c>
      <c r="O65" s="185"/>
      <c r="P65" s="185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ht="15.75" customHeight="1">
      <c r="A66" s="203"/>
      <c r="B66" s="112" t="s">
        <v>1115</v>
      </c>
      <c r="C66" s="103">
        <v>5.5</v>
      </c>
      <c r="D66" s="104">
        <v>7.5</v>
      </c>
      <c r="E66" s="103">
        <v>110.0</v>
      </c>
      <c r="F66" s="104">
        <v>10.0</v>
      </c>
      <c r="G66" s="132">
        <v>100.0</v>
      </c>
      <c r="H66" s="232">
        <v>50.0</v>
      </c>
      <c r="I66" s="239"/>
      <c r="J66" s="179">
        <v>1125.4799999999998</v>
      </c>
      <c r="K66" s="103" t="s">
        <v>35</v>
      </c>
      <c r="L66" s="109">
        <v>1450.0</v>
      </c>
      <c r="M66" s="109">
        <v>101.0</v>
      </c>
      <c r="N66" s="110">
        <v>0.106488</v>
      </c>
      <c r="O66" s="185"/>
      <c r="P66" s="185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ht="15.75" customHeight="1">
      <c r="A67" s="203"/>
      <c r="B67" s="112" t="s">
        <v>1116</v>
      </c>
      <c r="C67" s="103">
        <v>5.5</v>
      </c>
      <c r="D67" s="104">
        <v>7.5</v>
      </c>
      <c r="E67" s="103">
        <v>150.0</v>
      </c>
      <c r="F67" s="104">
        <v>7.0</v>
      </c>
      <c r="G67" s="132">
        <v>150.0</v>
      </c>
      <c r="H67" s="232">
        <v>70.0</v>
      </c>
      <c r="I67" s="239"/>
      <c r="J67" s="179">
        <v>1128.87</v>
      </c>
      <c r="K67" s="103" t="s">
        <v>35</v>
      </c>
      <c r="L67" s="109">
        <v>1450.0</v>
      </c>
      <c r="M67" s="109">
        <v>101.0</v>
      </c>
      <c r="N67" s="110">
        <v>0.106488</v>
      </c>
      <c r="O67" s="185"/>
      <c r="P67" s="185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ht="15.75" customHeight="1">
      <c r="A68" s="203"/>
      <c r="B68" s="112" t="s">
        <v>1117</v>
      </c>
      <c r="C68" s="103">
        <v>7.5</v>
      </c>
      <c r="D68" s="104">
        <v>10.0</v>
      </c>
      <c r="E68" s="103">
        <v>100.0</v>
      </c>
      <c r="F68" s="104">
        <v>15.0</v>
      </c>
      <c r="G68" s="132">
        <v>100.0</v>
      </c>
      <c r="H68" s="232">
        <v>35.0</v>
      </c>
      <c r="I68" s="239"/>
      <c r="J68" s="179">
        <v>1427.1899999999998</v>
      </c>
      <c r="K68" s="103" t="s">
        <v>35</v>
      </c>
      <c r="L68" s="109">
        <v>1450.0</v>
      </c>
      <c r="M68" s="109">
        <v>120.0</v>
      </c>
      <c r="N68" s="110">
        <v>0.106488</v>
      </c>
      <c r="O68" s="185"/>
      <c r="P68" s="185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ht="15.75" customHeight="1">
      <c r="A69" s="203"/>
      <c r="B69" s="112" t="s">
        <v>1118</v>
      </c>
      <c r="C69" s="103">
        <v>7.5</v>
      </c>
      <c r="D69" s="104">
        <v>10.0</v>
      </c>
      <c r="E69" s="103">
        <v>145.0</v>
      </c>
      <c r="F69" s="104">
        <v>9.0</v>
      </c>
      <c r="G69" s="132">
        <v>150.0</v>
      </c>
      <c r="H69" s="232">
        <v>50.0</v>
      </c>
      <c r="I69" s="239"/>
      <c r="J69" s="179">
        <v>1445.2699999999998</v>
      </c>
      <c r="K69" s="103" t="s">
        <v>35</v>
      </c>
      <c r="L69" s="109">
        <v>1450.0</v>
      </c>
      <c r="M69" s="109">
        <v>120.0</v>
      </c>
      <c r="N69" s="110">
        <v>0.106488</v>
      </c>
      <c r="O69" s="185"/>
      <c r="P69" s="185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ht="15.75" customHeight="1">
      <c r="A70" s="203"/>
      <c r="B70" s="112" t="s">
        <v>1119</v>
      </c>
      <c r="C70" s="103">
        <v>7.5</v>
      </c>
      <c r="D70" s="104">
        <v>10.0</v>
      </c>
      <c r="E70" s="103">
        <v>150.0</v>
      </c>
      <c r="F70" s="104">
        <v>10.0</v>
      </c>
      <c r="G70" s="132">
        <v>150.0</v>
      </c>
      <c r="H70" s="232">
        <v>75.0</v>
      </c>
      <c r="I70" s="239"/>
      <c r="J70" s="179">
        <v>1445.2699999999998</v>
      </c>
      <c r="K70" s="103" t="s">
        <v>35</v>
      </c>
      <c r="L70" s="109">
        <v>1450.0</v>
      </c>
      <c r="M70" s="109">
        <v>120.0</v>
      </c>
      <c r="N70" s="110">
        <v>0.106488</v>
      </c>
      <c r="O70" s="185"/>
      <c r="P70" s="185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ht="15.75" customHeight="1">
      <c r="A71" s="203"/>
      <c r="B71" s="112" t="s">
        <v>1120</v>
      </c>
      <c r="C71" s="103">
        <v>7.5</v>
      </c>
      <c r="D71" s="104">
        <v>10.0</v>
      </c>
      <c r="E71" s="103">
        <v>250.0</v>
      </c>
      <c r="F71" s="104">
        <v>6.0</v>
      </c>
      <c r="G71" s="132">
        <v>200.0</v>
      </c>
      <c r="H71" s="232">
        <v>80.0</v>
      </c>
      <c r="I71" s="239"/>
      <c r="J71" s="179">
        <v>1561.6599999999999</v>
      </c>
      <c r="K71" s="103" t="s">
        <v>35</v>
      </c>
      <c r="L71" s="109">
        <v>1450.0</v>
      </c>
      <c r="M71" s="109">
        <v>130.0</v>
      </c>
      <c r="N71" s="110">
        <v>0.143172</v>
      </c>
      <c r="O71" s="185"/>
      <c r="P71" s="185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ht="15.75" customHeight="1">
      <c r="A72" s="203"/>
      <c r="B72" s="112" t="s">
        <v>1121</v>
      </c>
      <c r="C72" s="103">
        <v>11.0</v>
      </c>
      <c r="D72" s="104">
        <v>15.0</v>
      </c>
      <c r="E72" s="103">
        <v>180.0</v>
      </c>
      <c r="F72" s="104">
        <v>11.0</v>
      </c>
      <c r="G72" s="132">
        <v>150.0</v>
      </c>
      <c r="H72" s="232">
        <v>45.0</v>
      </c>
      <c r="I72" s="239"/>
      <c r="J72" s="179">
        <v>2076.9399999999996</v>
      </c>
      <c r="K72" s="103" t="s">
        <v>35</v>
      </c>
      <c r="L72" s="109">
        <v>1450.0</v>
      </c>
      <c r="M72" s="109">
        <v>201.0</v>
      </c>
      <c r="N72" s="110">
        <v>0.220584</v>
      </c>
      <c r="O72" s="185"/>
      <c r="P72" s="185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ht="15.75" customHeight="1">
      <c r="A73" s="203"/>
      <c r="B73" s="112" t="s">
        <v>1122</v>
      </c>
      <c r="C73" s="103">
        <v>11.0</v>
      </c>
      <c r="D73" s="104">
        <v>15.0</v>
      </c>
      <c r="E73" s="103">
        <v>300.0</v>
      </c>
      <c r="F73" s="104">
        <v>7.0</v>
      </c>
      <c r="G73" s="132">
        <v>200.0</v>
      </c>
      <c r="H73" s="232">
        <v>70.0</v>
      </c>
      <c r="I73" s="239"/>
      <c r="J73" s="179">
        <v>2145.87</v>
      </c>
      <c r="K73" s="103" t="s">
        <v>35</v>
      </c>
      <c r="L73" s="109">
        <v>1450.0</v>
      </c>
      <c r="M73" s="109">
        <v>201.0</v>
      </c>
      <c r="N73" s="110">
        <v>0.229068</v>
      </c>
      <c r="O73" s="185"/>
      <c r="P73" s="185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ht="15.75" customHeight="1">
      <c r="A74" s="203"/>
      <c r="B74" s="112" t="s">
        <v>1123</v>
      </c>
      <c r="C74" s="103">
        <v>11.0</v>
      </c>
      <c r="D74" s="104">
        <v>15.0</v>
      </c>
      <c r="E74" s="103">
        <v>300.0</v>
      </c>
      <c r="F74" s="104">
        <v>9.0</v>
      </c>
      <c r="G74" s="132">
        <v>200.0</v>
      </c>
      <c r="H74" s="232">
        <v>70.0</v>
      </c>
      <c r="I74" s="239"/>
      <c r="J74" s="179">
        <v>2148.1299999999997</v>
      </c>
      <c r="K74" s="103" t="s">
        <v>35</v>
      </c>
      <c r="L74" s="109">
        <v>1450.0</v>
      </c>
      <c r="M74" s="109">
        <v>201.0</v>
      </c>
      <c r="N74" s="110">
        <v>0.229068</v>
      </c>
      <c r="O74" s="185"/>
      <c r="P74" s="185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ht="15.75" customHeight="1">
      <c r="A75" s="203"/>
      <c r="B75" s="112" t="s">
        <v>1124</v>
      </c>
      <c r="C75" s="103">
        <v>15.0</v>
      </c>
      <c r="D75" s="104">
        <v>20.0</v>
      </c>
      <c r="E75" s="103">
        <v>200.0</v>
      </c>
      <c r="F75" s="104">
        <v>15.0</v>
      </c>
      <c r="G75" s="132">
        <v>150.0</v>
      </c>
      <c r="H75" s="232">
        <v>45.0</v>
      </c>
      <c r="I75" s="239"/>
      <c r="J75" s="179">
        <v>2219.3199999999997</v>
      </c>
      <c r="K75" s="103" t="s">
        <v>35</v>
      </c>
      <c r="L75" s="109">
        <v>1450.0</v>
      </c>
      <c r="M75" s="109">
        <v>222.0</v>
      </c>
      <c r="N75" s="110">
        <v>0.2332</v>
      </c>
      <c r="O75" s="185"/>
      <c r="P75" s="185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ht="15.75" customHeight="1">
      <c r="A76" s="203"/>
      <c r="B76" s="112" t="s">
        <v>1125</v>
      </c>
      <c r="C76" s="103">
        <v>15.0</v>
      </c>
      <c r="D76" s="104">
        <v>20.0</v>
      </c>
      <c r="E76" s="103">
        <v>250.0</v>
      </c>
      <c r="F76" s="104">
        <v>11.0</v>
      </c>
      <c r="G76" s="132">
        <v>200.0</v>
      </c>
      <c r="H76" s="232">
        <v>50.0</v>
      </c>
      <c r="I76" s="239"/>
      <c r="J76" s="179">
        <v>2275.8199999999997</v>
      </c>
      <c r="K76" s="103" t="s">
        <v>35</v>
      </c>
      <c r="L76" s="109">
        <v>1450.0</v>
      </c>
      <c r="M76" s="109">
        <v>222.0</v>
      </c>
      <c r="N76" s="110">
        <v>0.23814</v>
      </c>
      <c r="O76" s="185"/>
      <c r="P76" s="185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ht="15.75" customHeight="1">
      <c r="A77" s="203"/>
      <c r="B77" s="112" t="s">
        <v>1126</v>
      </c>
      <c r="C77" s="103">
        <v>15.0</v>
      </c>
      <c r="D77" s="104">
        <v>20.0</v>
      </c>
      <c r="E77" s="103">
        <v>300.0</v>
      </c>
      <c r="F77" s="104">
        <v>12.0</v>
      </c>
      <c r="G77" s="132">
        <v>200.0</v>
      </c>
      <c r="H77" s="232">
        <v>50.0</v>
      </c>
      <c r="I77" s="239"/>
      <c r="J77" s="179">
        <v>2278.08</v>
      </c>
      <c r="K77" s="103" t="s">
        <v>35</v>
      </c>
      <c r="L77" s="109">
        <v>1450.0</v>
      </c>
      <c r="M77" s="109">
        <v>222.0</v>
      </c>
      <c r="N77" s="110">
        <v>0.23814</v>
      </c>
      <c r="O77" s="185"/>
      <c r="P77" s="185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ht="15.75" customHeight="1">
      <c r="A78" s="203"/>
      <c r="B78" s="112" t="s">
        <v>1127</v>
      </c>
      <c r="C78" s="103">
        <v>18.5</v>
      </c>
      <c r="D78" s="104">
        <v>25.0</v>
      </c>
      <c r="E78" s="103">
        <v>100.0</v>
      </c>
      <c r="F78" s="104">
        <v>35.0</v>
      </c>
      <c r="G78" s="132">
        <v>100.0</v>
      </c>
      <c r="H78" s="232">
        <v>35.0</v>
      </c>
      <c r="I78" s="239"/>
      <c r="J78" s="179">
        <v>2936.87</v>
      </c>
      <c r="K78" s="103" t="s">
        <v>35</v>
      </c>
      <c r="L78" s="109">
        <v>1450.0</v>
      </c>
      <c r="M78" s="109">
        <v>280.0</v>
      </c>
      <c r="N78" s="110">
        <v>0.2783</v>
      </c>
      <c r="O78" s="185"/>
      <c r="P78" s="185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ht="15.75" customHeight="1">
      <c r="A79" s="203"/>
      <c r="B79" s="112" t="s">
        <v>1128</v>
      </c>
      <c r="C79" s="103">
        <v>18.5</v>
      </c>
      <c r="D79" s="104">
        <v>25.0</v>
      </c>
      <c r="E79" s="103">
        <v>180.0</v>
      </c>
      <c r="F79" s="104">
        <v>20.0</v>
      </c>
      <c r="G79" s="132">
        <v>150.0</v>
      </c>
      <c r="H79" s="232">
        <v>45.0</v>
      </c>
      <c r="I79" s="239"/>
      <c r="J79" s="179">
        <v>2936.87</v>
      </c>
      <c r="K79" s="103" t="s">
        <v>35</v>
      </c>
      <c r="L79" s="109">
        <v>1450.0</v>
      </c>
      <c r="M79" s="109">
        <v>286.0</v>
      </c>
      <c r="N79" s="110">
        <v>0.28842</v>
      </c>
      <c r="O79" s="185"/>
      <c r="P79" s="185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ht="15.75" customHeight="1">
      <c r="A80" s="203"/>
      <c r="B80" s="112" t="s">
        <v>1129</v>
      </c>
      <c r="C80" s="103">
        <v>18.5</v>
      </c>
      <c r="D80" s="104">
        <v>25.0</v>
      </c>
      <c r="E80" s="103">
        <v>300.0</v>
      </c>
      <c r="F80" s="104">
        <v>10.0</v>
      </c>
      <c r="G80" s="132">
        <v>200.0</v>
      </c>
      <c r="H80" s="232">
        <v>55.0</v>
      </c>
      <c r="I80" s="239"/>
      <c r="J80" s="179">
        <v>2984.33</v>
      </c>
      <c r="K80" s="103" t="s">
        <v>35</v>
      </c>
      <c r="L80" s="109">
        <v>1450.0</v>
      </c>
      <c r="M80" s="109">
        <v>294.0</v>
      </c>
      <c r="N80" s="110">
        <v>0.32016</v>
      </c>
      <c r="O80" s="185"/>
      <c r="P80" s="185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ht="15.75" customHeight="1">
      <c r="A81" s="203"/>
      <c r="B81" s="112" t="s">
        <v>1130</v>
      </c>
      <c r="C81" s="103">
        <v>22.0</v>
      </c>
      <c r="D81" s="104">
        <v>30.0</v>
      </c>
      <c r="E81" s="103">
        <v>100.0</v>
      </c>
      <c r="F81" s="104">
        <v>40.0</v>
      </c>
      <c r="G81" s="132">
        <v>100.0</v>
      </c>
      <c r="H81" s="232">
        <v>35.0</v>
      </c>
      <c r="I81" s="239"/>
      <c r="J81" s="179">
        <v>3187.7299999999996</v>
      </c>
      <c r="K81" s="103" t="s">
        <v>35</v>
      </c>
      <c r="L81" s="109">
        <v>1450.0</v>
      </c>
      <c r="M81" s="109">
        <v>292.0</v>
      </c>
      <c r="N81" s="110">
        <v>0.3036</v>
      </c>
      <c r="O81" s="185"/>
      <c r="P81" s="185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ht="15.75" customHeight="1">
      <c r="A82" s="203"/>
      <c r="B82" s="112" t="s">
        <v>1131</v>
      </c>
      <c r="C82" s="103">
        <v>22.0</v>
      </c>
      <c r="D82" s="104">
        <v>30.0</v>
      </c>
      <c r="E82" s="103">
        <v>200.0</v>
      </c>
      <c r="F82" s="104">
        <v>22.0</v>
      </c>
      <c r="G82" s="132">
        <v>150.0</v>
      </c>
      <c r="H82" s="232">
        <v>45.0</v>
      </c>
      <c r="I82" s="239"/>
      <c r="J82" s="179">
        <v>3239.7099999999996</v>
      </c>
      <c r="K82" s="103" t="s">
        <v>35</v>
      </c>
      <c r="L82" s="109">
        <v>1450.0</v>
      </c>
      <c r="M82" s="109">
        <v>307.0</v>
      </c>
      <c r="N82" s="110">
        <v>0.3135</v>
      </c>
      <c r="O82" s="185"/>
      <c r="P82" s="185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ht="15.75" customHeight="1">
      <c r="A83" s="203"/>
      <c r="B83" s="112" t="s">
        <v>1132</v>
      </c>
      <c r="C83" s="103">
        <v>22.0</v>
      </c>
      <c r="D83" s="104">
        <v>30.0</v>
      </c>
      <c r="E83" s="103">
        <v>300.0</v>
      </c>
      <c r="F83" s="104">
        <v>16.0</v>
      </c>
      <c r="G83" s="132">
        <v>200.0</v>
      </c>
      <c r="H83" s="232">
        <v>50.0</v>
      </c>
      <c r="I83" s="239"/>
      <c r="J83" s="179">
        <v>3287.1699999999996</v>
      </c>
      <c r="K83" s="103" t="s">
        <v>35</v>
      </c>
      <c r="L83" s="109">
        <v>1450.0</v>
      </c>
      <c r="M83" s="109">
        <v>324.0</v>
      </c>
      <c r="N83" s="110">
        <v>0.32016</v>
      </c>
      <c r="O83" s="185"/>
      <c r="P83" s="185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ht="15.75" customHeight="1">
      <c r="A84" s="203"/>
      <c r="B84" s="112" t="s">
        <v>1133</v>
      </c>
      <c r="C84" s="103">
        <v>22.0</v>
      </c>
      <c r="D84" s="104">
        <v>30.0</v>
      </c>
      <c r="E84" s="103">
        <v>500.0</v>
      </c>
      <c r="F84" s="104">
        <v>9.0</v>
      </c>
      <c r="G84" s="132">
        <v>250.0</v>
      </c>
      <c r="H84" s="232">
        <v>70.0</v>
      </c>
      <c r="I84" s="239"/>
      <c r="J84" s="179">
        <v>3287.1699999999996</v>
      </c>
      <c r="K84" s="103" t="s">
        <v>35</v>
      </c>
      <c r="L84" s="109">
        <v>1450.0</v>
      </c>
      <c r="M84" s="109">
        <v>300.0</v>
      </c>
      <c r="N84" s="110">
        <v>0.32016</v>
      </c>
      <c r="O84" s="185"/>
      <c r="P84" s="185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ht="15.75" customHeight="1">
      <c r="A85" s="203"/>
      <c r="B85" s="112" t="s">
        <v>1134</v>
      </c>
      <c r="C85" s="103">
        <v>30.0</v>
      </c>
      <c r="D85" s="104">
        <v>40.0</v>
      </c>
      <c r="E85" s="103">
        <v>180.0</v>
      </c>
      <c r="F85" s="104">
        <v>30.0</v>
      </c>
      <c r="G85" s="132">
        <v>150.0</v>
      </c>
      <c r="H85" s="232">
        <v>45.0</v>
      </c>
      <c r="I85" s="239"/>
      <c r="J85" s="241" t="s">
        <v>80</v>
      </c>
      <c r="K85" s="103" t="s">
        <v>35</v>
      </c>
      <c r="L85" s="109">
        <v>1450.0</v>
      </c>
      <c r="M85" s="109">
        <v>440.0</v>
      </c>
      <c r="N85" s="110">
        <v>0.482625</v>
      </c>
      <c r="O85" s="185"/>
      <c r="P85" s="185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ht="15.75" customHeight="1">
      <c r="A86" s="203"/>
      <c r="B86" s="112" t="s">
        <v>1135</v>
      </c>
      <c r="C86" s="103">
        <v>30.0</v>
      </c>
      <c r="D86" s="104">
        <v>40.0</v>
      </c>
      <c r="E86" s="103">
        <v>250.0</v>
      </c>
      <c r="F86" s="104">
        <v>22.0</v>
      </c>
      <c r="G86" s="132">
        <v>200.0</v>
      </c>
      <c r="H86" s="232">
        <v>50.0</v>
      </c>
      <c r="I86" s="242"/>
      <c r="J86" s="241" t="s">
        <v>80</v>
      </c>
      <c r="K86" s="103" t="s">
        <v>35</v>
      </c>
      <c r="L86" s="109">
        <v>1450.0</v>
      </c>
      <c r="M86" s="109">
        <v>440.0</v>
      </c>
      <c r="N86" s="110">
        <v>0.515565</v>
      </c>
      <c r="O86" s="185"/>
      <c r="P86" s="185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ht="15.75" customHeight="1">
      <c r="A87" s="203"/>
      <c r="B87" s="112" t="s">
        <v>1136</v>
      </c>
      <c r="C87" s="103">
        <v>30.0</v>
      </c>
      <c r="D87" s="104">
        <v>40.0</v>
      </c>
      <c r="E87" s="103">
        <v>500.0</v>
      </c>
      <c r="F87" s="104">
        <v>14.0</v>
      </c>
      <c r="G87" s="132">
        <v>250.0</v>
      </c>
      <c r="H87" s="232">
        <v>70.0</v>
      </c>
      <c r="I87" s="243"/>
      <c r="J87" s="157" t="s">
        <v>80</v>
      </c>
      <c r="K87" s="103" t="s">
        <v>35</v>
      </c>
      <c r="L87" s="109">
        <v>1450.0</v>
      </c>
      <c r="M87" s="109">
        <v>440.0</v>
      </c>
      <c r="N87" s="110">
        <v>0.5628</v>
      </c>
      <c r="O87" s="185"/>
      <c r="P87" s="185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ht="15.75" customHeight="1">
      <c r="A88" s="203"/>
      <c r="B88" s="112" t="s">
        <v>1137</v>
      </c>
      <c r="C88" s="103">
        <v>30.0</v>
      </c>
      <c r="D88" s="104">
        <v>40.0</v>
      </c>
      <c r="E88" s="103">
        <v>800.0</v>
      </c>
      <c r="F88" s="104">
        <v>7.0</v>
      </c>
      <c r="G88" s="132">
        <v>300.0</v>
      </c>
      <c r="H88" s="232">
        <v>75.0</v>
      </c>
      <c r="I88" s="244"/>
      <c r="J88" s="157" t="s">
        <v>80</v>
      </c>
      <c r="K88" s="103" t="s">
        <v>35</v>
      </c>
      <c r="L88" s="109">
        <v>1450.0</v>
      </c>
      <c r="M88" s="109">
        <v>440.0</v>
      </c>
      <c r="N88" s="110">
        <v>0.5628</v>
      </c>
      <c r="O88" s="185"/>
      <c r="P88" s="185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ht="15.75" customHeight="1">
      <c r="A89" s="203"/>
      <c r="B89" s="112" t="s">
        <v>1138</v>
      </c>
      <c r="C89" s="103">
        <v>37.0</v>
      </c>
      <c r="D89" s="104">
        <v>50.0</v>
      </c>
      <c r="E89" s="103">
        <v>200.0</v>
      </c>
      <c r="F89" s="104">
        <v>35.0</v>
      </c>
      <c r="G89" s="132">
        <v>150.0</v>
      </c>
      <c r="H89" s="232">
        <v>45.0</v>
      </c>
      <c r="I89" s="244"/>
      <c r="J89" s="157" t="s">
        <v>80</v>
      </c>
      <c r="K89" s="103" t="s">
        <v>35</v>
      </c>
      <c r="L89" s="109">
        <v>1450.0</v>
      </c>
      <c r="M89" s="109">
        <v>500.0</v>
      </c>
      <c r="N89" s="110">
        <v>0.57486</v>
      </c>
      <c r="O89" s="185"/>
      <c r="P89" s="185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ht="15.75" customHeight="1">
      <c r="A90" s="203"/>
      <c r="B90" s="112" t="s">
        <v>1139</v>
      </c>
      <c r="C90" s="103">
        <v>37.0</v>
      </c>
      <c r="D90" s="104">
        <v>50.0</v>
      </c>
      <c r="E90" s="103">
        <v>300.0</v>
      </c>
      <c r="F90" s="104">
        <v>28.0</v>
      </c>
      <c r="G90" s="132">
        <v>200.0</v>
      </c>
      <c r="H90" s="232">
        <v>40.0</v>
      </c>
      <c r="I90" s="244"/>
      <c r="J90" s="157" t="s">
        <v>80</v>
      </c>
      <c r="K90" s="103" t="s">
        <v>35</v>
      </c>
      <c r="L90" s="109">
        <v>1450.0</v>
      </c>
      <c r="M90" s="109">
        <v>500.0</v>
      </c>
      <c r="N90" s="110">
        <v>0.57486</v>
      </c>
      <c r="O90" s="185"/>
      <c r="P90" s="185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ht="15.75" customHeight="1">
      <c r="A91" s="203"/>
      <c r="B91" s="112" t="s">
        <v>1140</v>
      </c>
      <c r="C91" s="103">
        <v>37.0</v>
      </c>
      <c r="D91" s="104">
        <v>50.0</v>
      </c>
      <c r="E91" s="103">
        <v>600.0</v>
      </c>
      <c r="F91" s="104">
        <v>12.0</v>
      </c>
      <c r="G91" s="132">
        <v>250.0</v>
      </c>
      <c r="H91" s="232">
        <v>50.0</v>
      </c>
      <c r="I91" s="244"/>
      <c r="J91" s="157" t="s">
        <v>80</v>
      </c>
      <c r="K91" s="103" t="s">
        <v>35</v>
      </c>
      <c r="L91" s="109">
        <v>1450.0</v>
      </c>
      <c r="M91" s="109">
        <v>500.0</v>
      </c>
      <c r="N91" s="110">
        <v>0.57486</v>
      </c>
      <c r="O91" s="185"/>
      <c r="P91" s="185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ht="15.75" customHeight="1">
      <c r="A92" s="203"/>
      <c r="B92" s="112" t="s">
        <v>1141</v>
      </c>
      <c r="C92" s="103">
        <v>37.0</v>
      </c>
      <c r="D92" s="104">
        <v>50.0</v>
      </c>
      <c r="E92" s="103">
        <v>800.0</v>
      </c>
      <c r="F92" s="104">
        <v>9.0</v>
      </c>
      <c r="G92" s="132">
        <v>300.0</v>
      </c>
      <c r="H92" s="232">
        <v>50.0</v>
      </c>
      <c r="I92" s="244"/>
      <c r="J92" s="157" t="s">
        <v>80</v>
      </c>
      <c r="K92" s="103" t="s">
        <v>35</v>
      </c>
      <c r="L92" s="109">
        <v>1450.0</v>
      </c>
      <c r="M92" s="109">
        <v>500.0</v>
      </c>
      <c r="N92" s="110">
        <v>0.57486</v>
      </c>
      <c r="O92" s="185"/>
      <c r="P92" s="185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ht="15.75" customHeight="1">
      <c r="A93" s="203"/>
      <c r="B93" s="112" t="s">
        <v>1142</v>
      </c>
      <c r="C93" s="103">
        <v>45.0</v>
      </c>
      <c r="D93" s="104">
        <v>60.0</v>
      </c>
      <c r="E93" s="103">
        <v>300.0</v>
      </c>
      <c r="F93" s="104">
        <v>32.0</v>
      </c>
      <c r="G93" s="132">
        <v>200.0</v>
      </c>
      <c r="H93" s="232">
        <v>50.0</v>
      </c>
      <c r="I93" s="244"/>
      <c r="J93" s="157" t="s">
        <v>80</v>
      </c>
      <c r="K93" s="103" t="s">
        <v>35</v>
      </c>
      <c r="L93" s="109">
        <v>1450.0</v>
      </c>
      <c r="M93" s="109">
        <v>580.0</v>
      </c>
      <c r="N93" s="110">
        <v>0.773984</v>
      </c>
      <c r="O93" s="185"/>
      <c r="P93" s="185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ht="15.75" customHeight="1">
      <c r="A94" s="203"/>
      <c r="B94" s="112" t="s">
        <v>1143</v>
      </c>
      <c r="C94" s="103">
        <v>45.0</v>
      </c>
      <c r="D94" s="104">
        <v>60.0</v>
      </c>
      <c r="E94" s="103">
        <v>600.0</v>
      </c>
      <c r="F94" s="104">
        <v>15.0</v>
      </c>
      <c r="G94" s="132">
        <v>250.0</v>
      </c>
      <c r="H94" s="232">
        <v>40.0</v>
      </c>
      <c r="I94" s="244"/>
      <c r="J94" s="157" t="s">
        <v>80</v>
      </c>
      <c r="K94" s="103" t="s">
        <v>35</v>
      </c>
      <c r="L94" s="109">
        <v>1450.0</v>
      </c>
      <c r="M94" s="109">
        <v>590.0</v>
      </c>
      <c r="N94" s="110">
        <v>0.773984</v>
      </c>
      <c r="O94" s="185"/>
      <c r="P94" s="185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ht="15.75" customHeight="1">
      <c r="A95" s="203"/>
      <c r="B95" s="112" t="s">
        <v>1144</v>
      </c>
      <c r="C95" s="103">
        <v>45.0</v>
      </c>
      <c r="D95" s="104">
        <v>60.0</v>
      </c>
      <c r="E95" s="103">
        <v>800.0</v>
      </c>
      <c r="F95" s="104">
        <v>12.0</v>
      </c>
      <c r="G95" s="132">
        <v>300.0</v>
      </c>
      <c r="H95" s="232">
        <v>50.0</v>
      </c>
      <c r="I95" s="244"/>
      <c r="J95" s="157" t="s">
        <v>80</v>
      </c>
      <c r="K95" s="103" t="s">
        <v>35</v>
      </c>
      <c r="L95" s="109">
        <v>1450.0</v>
      </c>
      <c r="M95" s="109">
        <v>590.0</v>
      </c>
      <c r="N95" s="110">
        <v>0.773984</v>
      </c>
      <c r="O95" s="185"/>
      <c r="P95" s="185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ht="15.75" customHeight="1">
      <c r="A96" s="203"/>
      <c r="B96" s="112" t="s">
        <v>1145</v>
      </c>
      <c r="C96" s="103">
        <v>55.0</v>
      </c>
      <c r="D96" s="104">
        <v>75.0</v>
      </c>
      <c r="E96" s="103">
        <v>300.0</v>
      </c>
      <c r="F96" s="104">
        <v>40.0</v>
      </c>
      <c r="G96" s="132">
        <v>200.0</v>
      </c>
      <c r="H96" s="232">
        <v>50.0</v>
      </c>
      <c r="I96" s="244"/>
      <c r="J96" s="157" t="s">
        <v>80</v>
      </c>
      <c r="K96" s="103" t="s">
        <v>35</v>
      </c>
      <c r="L96" s="109">
        <v>1450.0</v>
      </c>
      <c r="M96" s="109">
        <v>790.0</v>
      </c>
      <c r="N96" s="110">
        <v>0.9401</v>
      </c>
      <c r="O96" s="185"/>
      <c r="P96" s="185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ht="15.75" customHeight="1">
      <c r="A97" s="203"/>
      <c r="B97" s="112" t="s">
        <v>1146</v>
      </c>
      <c r="C97" s="103">
        <v>55.0</v>
      </c>
      <c r="D97" s="104">
        <v>75.0</v>
      </c>
      <c r="E97" s="103">
        <v>600.0</v>
      </c>
      <c r="F97" s="104">
        <v>20.0</v>
      </c>
      <c r="G97" s="132">
        <v>250.0</v>
      </c>
      <c r="H97" s="232">
        <v>75.0</v>
      </c>
      <c r="I97" s="244"/>
      <c r="J97" s="157" t="s">
        <v>80</v>
      </c>
      <c r="K97" s="103" t="s">
        <v>35</v>
      </c>
      <c r="L97" s="109">
        <v>1450.0</v>
      </c>
      <c r="M97" s="109">
        <v>790.0</v>
      </c>
      <c r="N97" s="110">
        <v>0.9401</v>
      </c>
      <c r="O97" s="185"/>
      <c r="P97" s="185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ht="15.75" customHeight="1">
      <c r="A98" s="194"/>
      <c r="B98" s="112" t="s">
        <v>1147</v>
      </c>
      <c r="C98" s="103">
        <v>55.0</v>
      </c>
      <c r="D98" s="104">
        <v>75.0</v>
      </c>
      <c r="E98" s="103">
        <v>800.0</v>
      </c>
      <c r="F98" s="104">
        <v>15.0</v>
      </c>
      <c r="G98" s="132">
        <v>300.0</v>
      </c>
      <c r="H98" s="232">
        <v>50.0</v>
      </c>
      <c r="I98" s="244"/>
      <c r="J98" s="157" t="s">
        <v>80</v>
      </c>
      <c r="K98" s="103" t="s">
        <v>35</v>
      </c>
      <c r="L98" s="109">
        <v>1450.0</v>
      </c>
      <c r="M98" s="109">
        <v>800.0</v>
      </c>
      <c r="N98" s="110">
        <v>0.9401</v>
      </c>
      <c r="O98" s="185"/>
      <c r="P98" s="185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ht="15.75" customHeight="1">
      <c r="A99" s="194"/>
      <c r="B99" s="112" t="s">
        <v>1148</v>
      </c>
      <c r="C99" s="103">
        <v>75.0</v>
      </c>
      <c r="D99" s="104">
        <v>100.0</v>
      </c>
      <c r="E99" s="103">
        <v>350.0</v>
      </c>
      <c r="F99" s="104">
        <v>45.0</v>
      </c>
      <c r="G99" s="132">
        <v>200.0</v>
      </c>
      <c r="H99" s="232">
        <v>55.0</v>
      </c>
      <c r="I99" s="244"/>
      <c r="J99" s="157" t="s">
        <v>80</v>
      </c>
      <c r="K99" s="103" t="s">
        <v>35</v>
      </c>
      <c r="L99" s="109">
        <v>1450.0</v>
      </c>
      <c r="M99" s="109">
        <v>1150.0</v>
      </c>
      <c r="N99" s="110">
        <v>0.98987</v>
      </c>
      <c r="O99" s="185"/>
      <c r="P99" s="185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ht="15.75" customHeight="1">
      <c r="A100" s="194"/>
      <c r="B100" s="112" t="s">
        <v>1149</v>
      </c>
      <c r="C100" s="103">
        <v>75.0</v>
      </c>
      <c r="D100" s="104">
        <v>100.0</v>
      </c>
      <c r="E100" s="103">
        <v>600.0</v>
      </c>
      <c r="F100" s="104">
        <v>25.0</v>
      </c>
      <c r="G100" s="132">
        <v>250.0</v>
      </c>
      <c r="H100" s="232">
        <v>80.0</v>
      </c>
      <c r="I100" s="244"/>
      <c r="J100" s="157" t="s">
        <v>80</v>
      </c>
      <c r="K100" s="103" t="s">
        <v>35</v>
      </c>
      <c r="L100" s="109">
        <v>1450.0</v>
      </c>
      <c r="M100" s="109">
        <v>1150.0</v>
      </c>
      <c r="N100" s="110">
        <v>0.98987</v>
      </c>
      <c r="O100" s="185"/>
      <c r="P100" s="185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ht="15.75" customHeight="1">
      <c r="A101" s="194"/>
      <c r="B101" s="112" t="s">
        <v>1150</v>
      </c>
      <c r="C101" s="103">
        <v>75.0</v>
      </c>
      <c r="D101" s="104">
        <v>100.0</v>
      </c>
      <c r="E101" s="103">
        <v>800.0</v>
      </c>
      <c r="F101" s="104">
        <v>20.0</v>
      </c>
      <c r="G101" s="132">
        <v>300.0</v>
      </c>
      <c r="H101" s="232">
        <v>50.0</v>
      </c>
      <c r="I101" s="245"/>
      <c r="J101" s="157" t="s">
        <v>80</v>
      </c>
      <c r="K101" s="103" t="s">
        <v>35</v>
      </c>
      <c r="L101" s="109">
        <v>1450.0</v>
      </c>
      <c r="M101" s="109">
        <v>1160.0</v>
      </c>
      <c r="N101" s="110">
        <v>0.98987</v>
      </c>
      <c r="O101" s="185"/>
      <c r="P101" s="185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ht="7.5" customHeight="1">
      <c r="A102" s="194"/>
      <c r="B102" s="195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85"/>
      <c r="P102" s="185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ht="24.75" customHeight="1">
      <c r="A103" s="194"/>
      <c r="B103" s="73" t="s">
        <v>124</v>
      </c>
      <c r="C103" s="74" t="s">
        <v>125</v>
      </c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185"/>
      <c r="P103" s="185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ht="24.75" customHeight="1">
      <c r="A104" s="194"/>
      <c r="B104" s="78" t="s">
        <v>126</v>
      </c>
      <c r="C104" s="79" t="s">
        <v>898</v>
      </c>
      <c r="D104" s="80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185"/>
      <c r="P104" s="185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ht="24.75" customHeight="1">
      <c r="A105" s="194"/>
      <c r="B105" s="78" t="s">
        <v>128</v>
      </c>
      <c r="C105" s="79" t="s">
        <v>857</v>
      </c>
      <c r="D105" s="80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185"/>
      <c r="P105" s="185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ht="24.75" customHeight="1">
      <c r="A106" s="194"/>
      <c r="B106" s="82" t="s">
        <v>130</v>
      </c>
      <c r="C106" s="79" t="s">
        <v>1151</v>
      </c>
      <c r="D106" s="83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185"/>
      <c r="P106" s="185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ht="24.75" customHeight="1">
      <c r="A107" s="194"/>
      <c r="B107" s="82" t="s">
        <v>613</v>
      </c>
      <c r="C107" s="85" t="s">
        <v>1094</v>
      </c>
      <c r="D107" s="83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185"/>
      <c r="P107" s="185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ht="15.75" customHeight="1">
      <c r="A108" s="194"/>
      <c r="B108" s="195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ht="15.75" customHeight="1">
      <c r="A109" s="194"/>
      <c r="B109" s="195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ht="31.5" customHeight="1">
      <c r="A110" s="199"/>
      <c r="B110" s="14" t="s">
        <v>1152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85"/>
      <c r="P110" s="185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ht="6.0" customHeight="1">
      <c r="A111" s="194"/>
      <c r="B111" s="201"/>
      <c r="C111" s="202"/>
      <c r="D111" s="202"/>
      <c r="E111" s="202"/>
      <c r="F111" s="202"/>
      <c r="G111" s="202"/>
      <c r="H111" s="202"/>
      <c r="I111" s="202"/>
      <c r="J111" s="202"/>
      <c r="K111" s="202"/>
      <c r="L111" s="194"/>
      <c r="M111" s="194"/>
      <c r="N111" s="194"/>
      <c r="O111" s="185"/>
      <c r="P111" s="185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ht="18.0" customHeight="1">
      <c r="A112" s="203"/>
      <c r="B112" s="204" t="s">
        <v>3</v>
      </c>
      <c r="C112" s="23" t="s">
        <v>4</v>
      </c>
      <c r="D112" s="24"/>
      <c r="E112" s="205" t="s">
        <v>5</v>
      </c>
      <c r="F112" s="26"/>
      <c r="G112" s="206" t="s">
        <v>6</v>
      </c>
      <c r="H112" s="207" t="s">
        <v>1057</v>
      </c>
      <c r="I112" s="237" t="s">
        <v>7</v>
      </c>
      <c r="J112" s="26"/>
      <c r="K112" s="209" t="s">
        <v>1058</v>
      </c>
      <c r="L112" s="210" t="s">
        <v>9</v>
      </c>
      <c r="M112" s="211" t="s">
        <v>10</v>
      </c>
      <c r="N112" s="211" t="s">
        <v>11</v>
      </c>
      <c r="O112" s="185"/>
      <c r="P112" s="185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ht="18.0" customHeight="1">
      <c r="A113" s="203"/>
      <c r="B113" s="213"/>
      <c r="C113" s="35"/>
      <c r="D113" s="36"/>
      <c r="E113" s="214" t="s">
        <v>960</v>
      </c>
      <c r="F113" s="123"/>
      <c r="G113" s="215"/>
      <c r="H113" s="216"/>
      <c r="I113" s="238"/>
      <c r="J113" s="123"/>
      <c r="K113" s="218" t="s">
        <v>1059</v>
      </c>
      <c r="L113" s="219"/>
      <c r="M113" s="202"/>
      <c r="N113" s="202"/>
      <c r="O113" s="185"/>
      <c r="P113" s="185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ht="18.0" customHeight="1">
      <c r="A114" s="203"/>
      <c r="B114" s="220"/>
      <c r="C114" s="221" t="s">
        <v>15</v>
      </c>
      <c r="D114" s="222" t="s">
        <v>16</v>
      </c>
      <c r="E114" s="223" t="s">
        <v>1060</v>
      </c>
      <c r="F114" s="224" t="s">
        <v>1061</v>
      </c>
      <c r="G114" s="225" t="s">
        <v>19</v>
      </c>
      <c r="H114" s="226"/>
      <c r="I114" s="174" t="s">
        <v>20</v>
      </c>
      <c r="J114" s="166" t="s">
        <v>21</v>
      </c>
      <c r="K114" s="221" t="s">
        <v>1062</v>
      </c>
      <c r="L114" s="229" t="s">
        <v>22</v>
      </c>
      <c r="M114" s="230" t="s">
        <v>23</v>
      </c>
      <c r="N114" s="231" t="s">
        <v>24</v>
      </c>
      <c r="O114" s="185"/>
      <c r="P114" s="185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ht="18.0" customHeight="1">
      <c r="A115" s="203"/>
      <c r="B115" s="112" t="s">
        <v>1153</v>
      </c>
      <c r="C115" s="103">
        <v>0.75</v>
      </c>
      <c r="D115" s="104">
        <v>1.0</v>
      </c>
      <c r="E115" s="103">
        <v>10.0</v>
      </c>
      <c r="F115" s="104">
        <v>10.0</v>
      </c>
      <c r="G115" s="132">
        <v>40.0</v>
      </c>
      <c r="H115" s="232">
        <v>20.0</v>
      </c>
      <c r="I115" s="152">
        <v>275.71999999999997</v>
      </c>
      <c r="J115" s="107">
        <v>265.54999999999995</v>
      </c>
      <c r="K115" s="103" t="s">
        <v>1154</v>
      </c>
      <c r="L115" s="109">
        <v>2900.0</v>
      </c>
      <c r="M115" s="109">
        <v>31.0</v>
      </c>
      <c r="N115" s="110">
        <f t="shared" ref="N115:N120" si="4">0.6*0.365*0.29</f>
        <v>0.06351</v>
      </c>
      <c r="O115" s="185"/>
      <c r="P115" s="185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ht="18.0" customHeight="1">
      <c r="A116" s="203"/>
      <c r="B116" s="112" t="s">
        <v>1155</v>
      </c>
      <c r="C116" s="103">
        <v>1.1</v>
      </c>
      <c r="D116" s="104">
        <v>1.5</v>
      </c>
      <c r="E116" s="103">
        <v>15.0</v>
      </c>
      <c r="F116" s="104">
        <v>10.0</v>
      </c>
      <c r="G116" s="132">
        <v>40.0</v>
      </c>
      <c r="H116" s="232">
        <v>20.0</v>
      </c>
      <c r="I116" s="152">
        <v>320.91999999999996</v>
      </c>
      <c r="J116" s="107">
        <v>307.35999999999996</v>
      </c>
      <c r="K116" s="103" t="s">
        <v>1154</v>
      </c>
      <c r="L116" s="109">
        <v>2900.0</v>
      </c>
      <c r="M116" s="109">
        <v>33.0</v>
      </c>
      <c r="N116" s="110">
        <f t="shared" si="4"/>
        <v>0.06351</v>
      </c>
      <c r="O116" s="185"/>
      <c r="P116" s="185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ht="18.0" customHeight="1">
      <c r="A117" s="203"/>
      <c r="B117" s="112" t="s">
        <v>1156</v>
      </c>
      <c r="C117" s="103">
        <v>0.75</v>
      </c>
      <c r="D117" s="104">
        <v>1.0</v>
      </c>
      <c r="E117" s="103">
        <v>10.0</v>
      </c>
      <c r="F117" s="104">
        <v>10.0</v>
      </c>
      <c r="G117" s="132">
        <v>50.0</v>
      </c>
      <c r="H117" s="232">
        <v>25.0</v>
      </c>
      <c r="I117" s="152">
        <v>275.71999999999997</v>
      </c>
      <c r="J117" s="107">
        <v>265.54999999999995</v>
      </c>
      <c r="K117" s="103" t="s">
        <v>1154</v>
      </c>
      <c r="L117" s="109">
        <v>2900.0</v>
      </c>
      <c r="M117" s="109">
        <v>31.0</v>
      </c>
      <c r="N117" s="110">
        <f t="shared" si="4"/>
        <v>0.06351</v>
      </c>
      <c r="O117" s="185"/>
      <c r="P117" s="185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ht="18.0" customHeight="1">
      <c r="A118" s="203"/>
      <c r="B118" s="112" t="s">
        <v>1157</v>
      </c>
      <c r="C118" s="103">
        <v>0.75</v>
      </c>
      <c r="D118" s="104">
        <v>1.0</v>
      </c>
      <c r="E118" s="103">
        <v>10.0</v>
      </c>
      <c r="F118" s="104">
        <v>10.0</v>
      </c>
      <c r="G118" s="132">
        <v>50.0</v>
      </c>
      <c r="H118" s="232">
        <v>25.0</v>
      </c>
      <c r="I118" s="152"/>
      <c r="J118" s="107">
        <v>247.46999999999997</v>
      </c>
      <c r="K118" s="103" t="s">
        <v>1154</v>
      </c>
      <c r="L118" s="109">
        <v>2900.0</v>
      </c>
      <c r="M118" s="109">
        <v>31.0</v>
      </c>
      <c r="N118" s="110">
        <f t="shared" si="4"/>
        <v>0.06351</v>
      </c>
      <c r="O118" s="185"/>
      <c r="P118" s="185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ht="18.0" customHeight="1">
      <c r="A119" s="203"/>
      <c r="B119" s="112" t="s">
        <v>1158</v>
      </c>
      <c r="C119" s="103">
        <v>1.1</v>
      </c>
      <c r="D119" s="104">
        <v>1.5</v>
      </c>
      <c r="E119" s="103">
        <v>15.0</v>
      </c>
      <c r="F119" s="104">
        <v>10.0</v>
      </c>
      <c r="G119" s="132">
        <v>50.0</v>
      </c>
      <c r="H119" s="232">
        <v>25.0</v>
      </c>
      <c r="I119" s="152">
        <v>320.91999999999996</v>
      </c>
      <c r="J119" s="107">
        <v>307.35999999999996</v>
      </c>
      <c r="K119" s="103" t="s">
        <v>1154</v>
      </c>
      <c r="L119" s="109">
        <v>2900.0</v>
      </c>
      <c r="M119" s="109">
        <v>33.0</v>
      </c>
      <c r="N119" s="110">
        <f t="shared" si="4"/>
        <v>0.06351</v>
      </c>
      <c r="O119" s="185"/>
      <c r="P119" s="185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ht="18.0" customHeight="1">
      <c r="A120" s="203"/>
      <c r="B120" s="112" t="s">
        <v>1159</v>
      </c>
      <c r="C120" s="103">
        <v>1.5</v>
      </c>
      <c r="D120" s="104">
        <v>2.0</v>
      </c>
      <c r="E120" s="103">
        <v>15.0</v>
      </c>
      <c r="F120" s="104">
        <v>15.0</v>
      </c>
      <c r="G120" s="132">
        <v>50.0</v>
      </c>
      <c r="H120" s="232">
        <v>25.0</v>
      </c>
      <c r="I120" s="152">
        <v>362.72999999999996</v>
      </c>
      <c r="J120" s="107">
        <v>345.78</v>
      </c>
      <c r="K120" s="103" t="s">
        <v>1154</v>
      </c>
      <c r="L120" s="109">
        <v>2900.0</v>
      </c>
      <c r="M120" s="109">
        <v>35.0</v>
      </c>
      <c r="N120" s="110">
        <f t="shared" si="4"/>
        <v>0.06351</v>
      </c>
      <c r="O120" s="185"/>
      <c r="P120" s="185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ht="18.0" customHeight="1">
      <c r="A121" s="33" t="s">
        <v>1160</v>
      </c>
      <c r="B121" s="112" t="s">
        <v>1161</v>
      </c>
      <c r="C121" s="103">
        <v>2.2</v>
      </c>
      <c r="D121" s="104">
        <v>3.0</v>
      </c>
      <c r="E121" s="103">
        <v>9.0</v>
      </c>
      <c r="F121" s="104">
        <v>22.0</v>
      </c>
      <c r="G121" s="132">
        <v>50.0</v>
      </c>
      <c r="H121" s="232">
        <v>20.0</v>
      </c>
      <c r="I121" s="152"/>
      <c r="J121" s="107">
        <v>406.79999999999995</v>
      </c>
      <c r="K121" s="103" t="s">
        <v>1154</v>
      </c>
      <c r="L121" s="109">
        <v>2900.0</v>
      </c>
      <c r="M121" s="109">
        <v>53.0</v>
      </c>
      <c r="N121" s="110">
        <f t="shared" ref="N121:N122" si="5">0.64*0.365*0.29</f>
        <v>0.067744</v>
      </c>
      <c r="O121" s="185"/>
      <c r="P121" s="185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ht="18.0" customHeight="1">
      <c r="A122" s="194"/>
      <c r="B122" s="112" t="s">
        <v>1162</v>
      </c>
      <c r="C122" s="103">
        <v>2.2</v>
      </c>
      <c r="D122" s="104">
        <v>3.0</v>
      </c>
      <c r="E122" s="103">
        <v>15.0</v>
      </c>
      <c r="F122" s="104">
        <v>20.0</v>
      </c>
      <c r="G122" s="132">
        <v>50.0</v>
      </c>
      <c r="H122" s="232">
        <v>20.0</v>
      </c>
      <c r="I122" s="152"/>
      <c r="J122" s="107">
        <v>415.84</v>
      </c>
      <c r="K122" s="103" t="s">
        <v>1154</v>
      </c>
      <c r="L122" s="109">
        <v>2900.0</v>
      </c>
      <c r="M122" s="109">
        <v>53.0</v>
      </c>
      <c r="N122" s="110">
        <f t="shared" si="5"/>
        <v>0.067744</v>
      </c>
      <c r="O122" s="185"/>
      <c r="P122" s="185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ht="18.0" customHeight="1">
      <c r="A123" s="194"/>
      <c r="B123" s="112" t="s">
        <v>1163</v>
      </c>
      <c r="C123" s="103">
        <v>3.0</v>
      </c>
      <c r="D123" s="104">
        <v>4.0</v>
      </c>
      <c r="E123" s="103">
        <v>15.0</v>
      </c>
      <c r="F123" s="104">
        <v>30.0</v>
      </c>
      <c r="G123" s="132">
        <v>50.0</v>
      </c>
      <c r="H123" s="232">
        <v>20.0</v>
      </c>
      <c r="I123" s="152"/>
      <c r="J123" s="107">
        <v>529.9699999999999</v>
      </c>
      <c r="K123" s="103" t="s">
        <v>1154</v>
      </c>
      <c r="L123" s="109">
        <v>2900.0</v>
      </c>
      <c r="M123" s="109">
        <v>57.0</v>
      </c>
      <c r="N123" s="110">
        <f>0.68*0.365*0.29</f>
        <v>0.071978</v>
      </c>
      <c r="O123" s="185"/>
      <c r="P123" s="185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ht="18.0" customHeight="1">
      <c r="A124" s="200"/>
      <c r="B124" s="112" t="s">
        <v>1164</v>
      </c>
      <c r="C124" s="103">
        <v>1.5</v>
      </c>
      <c r="D124" s="104">
        <v>2.0</v>
      </c>
      <c r="E124" s="103">
        <v>25.0</v>
      </c>
      <c r="F124" s="104">
        <v>10.0</v>
      </c>
      <c r="G124" s="132">
        <v>65.0</v>
      </c>
      <c r="H124" s="232">
        <v>25.0</v>
      </c>
      <c r="I124" s="152">
        <v>375.15999999999997</v>
      </c>
      <c r="J124" s="107">
        <v>358.21</v>
      </c>
      <c r="K124" s="103" t="s">
        <v>1154</v>
      </c>
      <c r="L124" s="109">
        <v>2900.0</v>
      </c>
      <c r="M124" s="109">
        <v>39.0</v>
      </c>
      <c r="N124" s="110">
        <f>0.6*0.365*0.29</f>
        <v>0.06351</v>
      </c>
      <c r="O124" s="185"/>
      <c r="P124" s="185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ht="18.0" customHeight="1">
      <c r="A125" s="203"/>
      <c r="B125" s="112" t="s">
        <v>1165</v>
      </c>
      <c r="C125" s="103">
        <v>2.2</v>
      </c>
      <c r="D125" s="104">
        <v>3.0</v>
      </c>
      <c r="E125" s="103">
        <v>25.0</v>
      </c>
      <c r="F125" s="104">
        <v>17.0</v>
      </c>
      <c r="G125" s="132">
        <v>65.0</v>
      </c>
      <c r="H125" s="232">
        <v>25.0</v>
      </c>
      <c r="I125" s="152"/>
      <c r="J125" s="107">
        <v>432.78999999999996</v>
      </c>
      <c r="K125" s="103" t="s">
        <v>1154</v>
      </c>
      <c r="L125" s="109">
        <v>2900.0</v>
      </c>
      <c r="M125" s="109">
        <v>53.0</v>
      </c>
      <c r="N125" s="110">
        <f>0.64*0.365*0.29</f>
        <v>0.067744</v>
      </c>
      <c r="O125" s="185"/>
      <c r="P125" s="185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ht="18.0" customHeight="1">
      <c r="A126" s="203"/>
      <c r="B126" s="112" t="s">
        <v>1166</v>
      </c>
      <c r="C126" s="103">
        <v>3.0</v>
      </c>
      <c r="D126" s="104">
        <v>4.0</v>
      </c>
      <c r="E126" s="103">
        <v>25.0</v>
      </c>
      <c r="F126" s="104">
        <v>21.0</v>
      </c>
      <c r="G126" s="132">
        <v>65.0</v>
      </c>
      <c r="H126" s="232">
        <v>25.0</v>
      </c>
      <c r="I126" s="152"/>
      <c r="J126" s="107">
        <v>559.3499999999999</v>
      </c>
      <c r="K126" s="103" t="s">
        <v>1154</v>
      </c>
      <c r="L126" s="109">
        <v>2900.0</v>
      </c>
      <c r="M126" s="109">
        <v>57.0</v>
      </c>
      <c r="N126" s="110">
        <f>0.68*0.365*0.29</f>
        <v>0.071978</v>
      </c>
      <c r="O126" s="185"/>
      <c r="P126" s="185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ht="18.0" customHeight="1">
      <c r="A127" s="203"/>
      <c r="B127" s="112" t="s">
        <v>1167</v>
      </c>
      <c r="C127" s="103">
        <v>4.0</v>
      </c>
      <c r="D127" s="104">
        <v>5.5</v>
      </c>
      <c r="E127" s="103">
        <v>25.0</v>
      </c>
      <c r="F127" s="104">
        <v>26.0</v>
      </c>
      <c r="G127" s="132">
        <v>65.0</v>
      </c>
      <c r="H127" s="232">
        <v>25.0</v>
      </c>
      <c r="I127" s="239"/>
      <c r="J127" s="107">
        <v>624.89</v>
      </c>
      <c r="K127" s="103" t="s">
        <v>1154</v>
      </c>
      <c r="L127" s="109">
        <v>2900.0</v>
      </c>
      <c r="M127" s="109">
        <v>80.0</v>
      </c>
      <c r="N127" s="110">
        <f>0.76*0.365*0.35</f>
        <v>0.09709</v>
      </c>
      <c r="O127" s="185"/>
      <c r="P127" s="185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ht="18.0" customHeight="1">
      <c r="A128" s="203"/>
      <c r="B128" s="112" t="s">
        <v>1168</v>
      </c>
      <c r="C128" s="103">
        <v>5.5</v>
      </c>
      <c r="D128" s="104">
        <v>7.5</v>
      </c>
      <c r="E128" s="103">
        <v>30.0</v>
      </c>
      <c r="F128" s="104">
        <v>30.0</v>
      </c>
      <c r="G128" s="132">
        <v>65.0</v>
      </c>
      <c r="H128" s="232">
        <v>25.0</v>
      </c>
      <c r="I128" s="239"/>
      <c r="J128" s="107">
        <v>719.81</v>
      </c>
      <c r="K128" s="103" t="s">
        <v>1154</v>
      </c>
      <c r="L128" s="109">
        <v>2900.0</v>
      </c>
      <c r="M128" s="109">
        <v>84.0</v>
      </c>
      <c r="N128" s="110">
        <f>0.8*0.365*0.35</f>
        <v>0.1022</v>
      </c>
      <c r="O128" s="185"/>
      <c r="P128" s="185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ht="18.0" customHeight="1">
      <c r="A129" s="203"/>
      <c r="B129" s="112" t="s">
        <v>1169</v>
      </c>
      <c r="C129" s="103">
        <v>7.5</v>
      </c>
      <c r="D129" s="104">
        <v>10.0</v>
      </c>
      <c r="E129" s="103">
        <v>30.0</v>
      </c>
      <c r="F129" s="104">
        <v>36.0</v>
      </c>
      <c r="G129" s="132">
        <v>65.0</v>
      </c>
      <c r="H129" s="232">
        <v>25.0</v>
      </c>
      <c r="I129" s="239"/>
      <c r="J129" s="107">
        <v>1148.08</v>
      </c>
      <c r="K129" s="103" t="s">
        <v>1154</v>
      </c>
      <c r="L129" s="109">
        <v>2900.0</v>
      </c>
      <c r="M129" s="109">
        <v>145.0</v>
      </c>
      <c r="N129" s="110">
        <f>0.85*0.41*0.38</f>
        <v>0.13243</v>
      </c>
      <c r="O129" s="185"/>
      <c r="P129" s="185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ht="18.0" customHeight="1">
      <c r="A130" s="203"/>
      <c r="B130" s="112" t="s">
        <v>1170</v>
      </c>
      <c r="C130" s="103">
        <v>2.2</v>
      </c>
      <c r="D130" s="104">
        <v>3.0</v>
      </c>
      <c r="E130" s="103">
        <v>45.0</v>
      </c>
      <c r="F130" s="104">
        <v>9.0</v>
      </c>
      <c r="G130" s="132">
        <v>80.0</v>
      </c>
      <c r="H130" s="232">
        <v>30.0</v>
      </c>
      <c r="I130" s="239"/>
      <c r="J130" s="179">
        <v>445.21999999999997</v>
      </c>
      <c r="K130" s="103" t="s">
        <v>1154</v>
      </c>
      <c r="L130" s="109">
        <v>2900.0</v>
      </c>
      <c r="M130" s="109">
        <v>55.0</v>
      </c>
      <c r="N130" s="110">
        <f>0.64*0.38*0.28</f>
        <v>0.068096</v>
      </c>
      <c r="O130" s="185"/>
      <c r="P130" s="185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ht="18.0" customHeight="1">
      <c r="A131" s="203"/>
      <c r="B131" s="112" t="s">
        <v>1171</v>
      </c>
      <c r="C131" s="103">
        <v>3.0</v>
      </c>
      <c r="D131" s="104">
        <v>4.0</v>
      </c>
      <c r="E131" s="103">
        <v>43.0</v>
      </c>
      <c r="F131" s="104">
        <v>13.0</v>
      </c>
      <c r="G131" s="132">
        <v>80.0</v>
      </c>
      <c r="H131" s="232">
        <v>30.0</v>
      </c>
      <c r="I131" s="239"/>
      <c r="J131" s="107">
        <v>572.91</v>
      </c>
      <c r="K131" s="103" t="s">
        <v>1154</v>
      </c>
      <c r="L131" s="109">
        <v>2900.0</v>
      </c>
      <c r="M131" s="109">
        <v>59.0</v>
      </c>
      <c r="N131" s="110">
        <f>0.7*0.38*0.35</f>
        <v>0.0931</v>
      </c>
      <c r="O131" s="185"/>
      <c r="P131" s="185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ht="18.0" customHeight="1">
      <c r="A132" s="203"/>
      <c r="B132" s="112" t="s">
        <v>1172</v>
      </c>
      <c r="C132" s="103">
        <v>4.0</v>
      </c>
      <c r="D132" s="104">
        <v>5.5</v>
      </c>
      <c r="E132" s="103">
        <v>45.0</v>
      </c>
      <c r="F132" s="104">
        <v>17.0</v>
      </c>
      <c r="G132" s="132">
        <v>80.0</v>
      </c>
      <c r="H132" s="232">
        <v>25.0</v>
      </c>
      <c r="I132" s="239"/>
      <c r="J132" s="107">
        <v>650.8799999999999</v>
      </c>
      <c r="K132" s="103" t="s">
        <v>1154</v>
      </c>
      <c r="L132" s="109">
        <v>2900.0</v>
      </c>
      <c r="M132" s="109">
        <v>87.0</v>
      </c>
      <c r="N132" s="110">
        <f>0.76*0.41*0.35</f>
        <v>0.10906</v>
      </c>
      <c r="O132" s="185"/>
      <c r="P132" s="185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ht="18.0" customHeight="1">
      <c r="A133" s="203"/>
      <c r="B133" s="112" t="s">
        <v>1173</v>
      </c>
      <c r="C133" s="103">
        <v>5.5</v>
      </c>
      <c r="D133" s="104">
        <v>7.5</v>
      </c>
      <c r="E133" s="103">
        <v>40.0</v>
      </c>
      <c r="F133" s="104">
        <v>23.0</v>
      </c>
      <c r="G133" s="132">
        <v>80.0</v>
      </c>
      <c r="H133" s="232">
        <v>25.0</v>
      </c>
      <c r="I133" s="239"/>
      <c r="J133" s="107">
        <v>754.8399999999999</v>
      </c>
      <c r="K133" s="103" t="s">
        <v>1154</v>
      </c>
      <c r="L133" s="109">
        <v>2900.0</v>
      </c>
      <c r="M133" s="109">
        <v>91.0</v>
      </c>
      <c r="N133" s="110">
        <f>0.8*0.41*0.35</f>
        <v>0.1148</v>
      </c>
      <c r="O133" s="185"/>
      <c r="P133" s="185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ht="18.0" customHeight="1">
      <c r="A134" s="203"/>
      <c r="B134" s="112" t="s">
        <v>1174</v>
      </c>
      <c r="C134" s="103">
        <v>7.5</v>
      </c>
      <c r="D134" s="104">
        <v>10.0</v>
      </c>
      <c r="E134" s="103">
        <v>45.0</v>
      </c>
      <c r="F134" s="104">
        <v>28.0</v>
      </c>
      <c r="G134" s="132">
        <v>80.0</v>
      </c>
      <c r="H134" s="232">
        <v>30.0</v>
      </c>
      <c r="I134" s="239"/>
      <c r="J134" s="179">
        <v>1161.6399999999999</v>
      </c>
      <c r="K134" s="103" t="s">
        <v>1154</v>
      </c>
      <c r="L134" s="109">
        <v>2900.0</v>
      </c>
      <c r="M134" s="109">
        <v>148.0</v>
      </c>
      <c r="N134" s="110">
        <f>0.86*0.42*0.38</f>
        <v>0.137256</v>
      </c>
      <c r="O134" s="185"/>
      <c r="P134" s="185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ht="18.0" customHeight="1">
      <c r="A135" s="203"/>
      <c r="B135" s="112" t="s">
        <v>1175</v>
      </c>
      <c r="C135" s="103">
        <v>4.0</v>
      </c>
      <c r="D135" s="104">
        <v>5.5</v>
      </c>
      <c r="E135" s="103">
        <v>65.0</v>
      </c>
      <c r="F135" s="104">
        <v>12.0</v>
      </c>
      <c r="G135" s="132">
        <v>100.0</v>
      </c>
      <c r="H135" s="232">
        <v>25.0</v>
      </c>
      <c r="I135" s="239"/>
      <c r="J135" s="179">
        <v>702.8599999999999</v>
      </c>
      <c r="K135" s="103" t="s">
        <v>1154</v>
      </c>
      <c r="L135" s="109">
        <v>2900.0</v>
      </c>
      <c r="M135" s="109">
        <v>93.0</v>
      </c>
      <c r="N135" s="110">
        <f>0.76*0.41*0.35</f>
        <v>0.10906</v>
      </c>
      <c r="O135" s="185"/>
      <c r="P135" s="185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ht="18.0" customHeight="1">
      <c r="A136" s="203"/>
      <c r="B136" s="112" t="s">
        <v>1176</v>
      </c>
      <c r="C136" s="103">
        <v>5.5</v>
      </c>
      <c r="D136" s="104">
        <v>7.5</v>
      </c>
      <c r="E136" s="103">
        <v>65.0</v>
      </c>
      <c r="F136" s="104">
        <v>17.0</v>
      </c>
      <c r="G136" s="132">
        <v>100.0</v>
      </c>
      <c r="H136" s="232">
        <v>25.0</v>
      </c>
      <c r="I136" s="239"/>
      <c r="J136" s="179">
        <v>781.9599999999999</v>
      </c>
      <c r="K136" s="103" t="s">
        <v>1154</v>
      </c>
      <c r="L136" s="109">
        <v>2900.0</v>
      </c>
      <c r="M136" s="109">
        <v>98.0</v>
      </c>
      <c r="N136" s="110">
        <f>0.8*0.41*0.35</f>
        <v>0.1148</v>
      </c>
      <c r="O136" s="185"/>
      <c r="P136" s="185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ht="18.0" customHeight="1">
      <c r="A137" s="203"/>
      <c r="B137" s="112" t="s">
        <v>1177</v>
      </c>
      <c r="C137" s="103">
        <v>7.5</v>
      </c>
      <c r="D137" s="104">
        <v>10.0</v>
      </c>
      <c r="E137" s="103">
        <v>65.0</v>
      </c>
      <c r="F137" s="104">
        <v>23.0</v>
      </c>
      <c r="G137" s="132">
        <v>100.0</v>
      </c>
      <c r="H137" s="232">
        <v>35.0</v>
      </c>
      <c r="I137" s="239"/>
      <c r="J137" s="179">
        <v>1200.06</v>
      </c>
      <c r="K137" s="103" t="s">
        <v>1154</v>
      </c>
      <c r="L137" s="109">
        <v>2900.0</v>
      </c>
      <c r="M137" s="109">
        <v>150.0</v>
      </c>
      <c r="N137" s="110">
        <f>0.86*0.42*0.38</f>
        <v>0.137256</v>
      </c>
      <c r="O137" s="185"/>
      <c r="P137" s="185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ht="18.0" customHeight="1">
      <c r="A138" s="203"/>
      <c r="B138" s="112" t="s">
        <v>1178</v>
      </c>
      <c r="C138" s="103">
        <v>7.5</v>
      </c>
      <c r="D138" s="104">
        <v>10.0</v>
      </c>
      <c r="E138" s="103">
        <v>100.0</v>
      </c>
      <c r="F138" s="104">
        <v>12.0</v>
      </c>
      <c r="G138" s="132">
        <v>150.0</v>
      </c>
      <c r="H138" s="232">
        <v>40.0</v>
      </c>
      <c r="I138" s="239"/>
      <c r="J138" s="179">
        <v>1331.1399999999999</v>
      </c>
      <c r="K138" s="103" t="s">
        <v>1154</v>
      </c>
      <c r="L138" s="109">
        <v>2900.0</v>
      </c>
      <c r="M138" s="109">
        <v>163.0</v>
      </c>
      <c r="N138" s="110">
        <f>0.88*0.45*0.39</f>
        <v>0.15444</v>
      </c>
      <c r="O138" s="185"/>
      <c r="P138" s="185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ht="18.0" customHeight="1">
      <c r="A139" s="246" t="s">
        <v>1179</v>
      </c>
      <c r="B139" s="112" t="s">
        <v>1180</v>
      </c>
      <c r="C139" s="103">
        <v>11.0</v>
      </c>
      <c r="D139" s="104">
        <v>15.0</v>
      </c>
      <c r="E139" s="103">
        <v>80.0</v>
      </c>
      <c r="F139" s="104">
        <v>25.0</v>
      </c>
      <c r="G139" s="132">
        <v>100.0</v>
      </c>
      <c r="H139" s="247" t="str">
        <f t="shared" ref="H139:H148" si="6">VLOOKUP(B139,'[1]Sheet1'!$A$2:$B$24,2,FALSE)</f>
        <v>#REF!</v>
      </c>
      <c r="I139" s="239"/>
      <c r="J139" s="179">
        <v>2937.9999999999995</v>
      </c>
      <c r="K139" s="103" t="s">
        <v>1181</v>
      </c>
      <c r="L139" s="109">
        <v>1450.0</v>
      </c>
      <c r="M139" s="109">
        <v>187.0</v>
      </c>
      <c r="N139" s="110">
        <v>0.209664</v>
      </c>
      <c r="O139" s="185"/>
      <c r="P139" s="185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ht="18.0" customHeight="1">
      <c r="A140" s="203"/>
      <c r="B140" s="112" t="s">
        <v>1182</v>
      </c>
      <c r="C140" s="103">
        <v>11.0</v>
      </c>
      <c r="D140" s="104">
        <v>15.0</v>
      </c>
      <c r="E140" s="103">
        <v>150.0</v>
      </c>
      <c r="F140" s="104">
        <v>15.0</v>
      </c>
      <c r="G140" s="132">
        <v>150.0</v>
      </c>
      <c r="H140" s="247" t="str">
        <f t="shared" si="6"/>
        <v>#REF!</v>
      </c>
      <c r="I140" s="239"/>
      <c r="J140" s="179">
        <v>2987.72</v>
      </c>
      <c r="K140" s="103" t="s">
        <v>1181</v>
      </c>
      <c r="L140" s="109">
        <v>1450.0</v>
      </c>
      <c r="M140" s="109">
        <v>201.0</v>
      </c>
      <c r="N140" s="110">
        <v>0.220584</v>
      </c>
      <c r="O140" s="185"/>
      <c r="P140" s="185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ht="18.0" customHeight="1">
      <c r="A141" s="212"/>
      <c r="B141" s="112" t="s">
        <v>1183</v>
      </c>
      <c r="C141" s="103">
        <v>15.0</v>
      </c>
      <c r="D141" s="104">
        <v>20.0</v>
      </c>
      <c r="E141" s="103">
        <v>80.0</v>
      </c>
      <c r="F141" s="104">
        <v>30.0</v>
      </c>
      <c r="G141" s="132">
        <v>100.0</v>
      </c>
      <c r="H141" s="247" t="str">
        <f t="shared" si="6"/>
        <v>#REF!</v>
      </c>
      <c r="I141" s="239"/>
      <c r="J141" s="179">
        <v>3286.0399999999995</v>
      </c>
      <c r="K141" s="103" t="s">
        <v>1181</v>
      </c>
      <c r="L141" s="109">
        <v>1450.0</v>
      </c>
      <c r="M141" s="109">
        <v>208.0</v>
      </c>
      <c r="N141" s="110">
        <v>0.22932</v>
      </c>
      <c r="O141" s="185"/>
      <c r="P141" s="185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ht="18.0" customHeight="1">
      <c r="A142" s="203"/>
      <c r="B142" s="112" t="s">
        <v>1184</v>
      </c>
      <c r="C142" s="103">
        <v>15.0</v>
      </c>
      <c r="D142" s="104">
        <v>20.0</v>
      </c>
      <c r="E142" s="103">
        <v>200.0</v>
      </c>
      <c r="F142" s="104">
        <v>15.0</v>
      </c>
      <c r="G142" s="132">
        <v>150.0</v>
      </c>
      <c r="H142" s="247" t="str">
        <f t="shared" si="6"/>
        <v>#REF!</v>
      </c>
      <c r="I142" s="239"/>
      <c r="J142" s="179">
        <v>3335.7599999999998</v>
      </c>
      <c r="K142" s="103" t="s">
        <v>1181</v>
      </c>
      <c r="L142" s="109">
        <v>1450.0</v>
      </c>
      <c r="M142" s="109">
        <v>222.0</v>
      </c>
      <c r="N142" s="110">
        <v>0.22932</v>
      </c>
      <c r="O142" s="185"/>
      <c r="P142" s="185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ht="18.0" customHeight="1">
      <c r="A143" s="203"/>
      <c r="B143" s="112" t="s">
        <v>1185</v>
      </c>
      <c r="C143" s="103">
        <v>18.5</v>
      </c>
      <c r="D143" s="104">
        <v>25.0</v>
      </c>
      <c r="E143" s="103">
        <v>250.0</v>
      </c>
      <c r="F143" s="104">
        <v>15.0</v>
      </c>
      <c r="G143" s="132">
        <v>150.0</v>
      </c>
      <c r="H143" s="247" t="str">
        <f t="shared" si="6"/>
        <v>#REF!</v>
      </c>
      <c r="I143" s="239"/>
      <c r="J143" s="179">
        <v>4331.29</v>
      </c>
      <c r="K143" s="103" t="s">
        <v>1181</v>
      </c>
      <c r="L143" s="109">
        <v>1450.0</v>
      </c>
      <c r="M143" s="109">
        <v>286.0</v>
      </c>
      <c r="N143" s="110">
        <v>0.31464</v>
      </c>
      <c r="O143" s="185"/>
      <c r="P143" s="185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ht="18.0" customHeight="1">
      <c r="A144" s="203"/>
      <c r="B144" s="112" t="s">
        <v>1186</v>
      </c>
      <c r="C144" s="103">
        <v>18.5</v>
      </c>
      <c r="D144" s="104">
        <v>25.0</v>
      </c>
      <c r="E144" s="103">
        <v>350.0</v>
      </c>
      <c r="F144" s="104">
        <v>12.0</v>
      </c>
      <c r="G144" s="132">
        <v>200.0</v>
      </c>
      <c r="H144" s="247" t="str">
        <f t="shared" si="6"/>
        <v>#REF!</v>
      </c>
      <c r="I144" s="239"/>
      <c r="J144" s="179">
        <v>4430.73</v>
      </c>
      <c r="K144" s="103" t="s">
        <v>1181</v>
      </c>
      <c r="L144" s="109">
        <v>1450.0</v>
      </c>
      <c r="M144" s="109">
        <v>294.0</v>
      </c>
      <c r="N144" s="110">
        <v>0.31464</v>
      </c>
      <c r="O144" s="185"/>
      <c r="P144" s="185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ht="18.0" customHeight="1">
      <c r="A145" s="203"/>
      <c r="B145" s="112" t="s">
        <v>1187</v>
      </c>
      <c r="C145" s="103">
        <v>22.0</v>
      </c>
      <c r="D145" s="104">
        <v>30.0</v>
      </c>
      <c r="E145" s="103">
        <v>300.0</v>
      </c>
      <c r="F145" s="104">
        <v>15.0</v>
      </c>
      <c r="G145" s="132">
        <v>150.0</v>
      </c>
      <c r="H145" s="247" t="str">
        <f t="shared" si="6"/>
        <v>#REF!</v>
      </c>
      <c r="I145" s="239"/>
      <c r="J145" s="179">
        <v>4480.45</v>
      </c>
      <c r="K145" s="103" t="s">
        <v>1181</v>
      </c>
      <c r="L145" s="109">
        <v>1450.0</v>
      </c>
      <c r="M145" s="109">
        <v>307.0</v>
      </c>
      <c r="N145" s="110">
        <v>0.31349999999999995</v>
      </c>
      <c r="O145" s="185"/>
      <c r="P145" s="185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ht="18.0" customHeight="1">
      <c r="A146" s="203"/>
      <c r="B146" s="112" t="s">
        <v>1188</v>
      </c>
      <c r="C146" s="103">
        <v>22.0</v>
      </c>
      <c r="D146" s="104">
        <v>30.0</v>
      </c>
      <c r="E146" s="103">
        <v>400.0</v>
      </c>
      <c r="F146" s="104">
        <v>10.0</v>
      </c>
      <c r="G146" s="132">
        <v>200.0</v>
      </c>
      <c r="H146" s="247" t="str">
        <f t="shared" si="6"/>
        <v>#REF!</v>
      </c>
      <c r="I146" s="239"/>
      <c r="J146" s="179">
        <v>4579.889999999999</v>
      </c>
      <c r="K146" s="103" t="s">
        <v>1181</v>
      </c>
      <c r="L146" s="109">
        <v>1450.0</v>
      </c>
      <c r="M146" s="109">
        <v>324.0</v>
      </c>
      <c r="N146" s="110">
        <v>0.31464</v>
      </c>
      <c r="O146" s="185"/>
      <c r="P146" s="185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ht="18.0" customHeight="1">
      <c r="A147" s="203"/>
      <c r="B147" s="112" t="s">
        <v>1189</v>
      </c>
      <c r="C147" s="103">
        <v>30.0</v>
      </c>
      <c r="D147" s="104">
        <v>40.0</v>
      </c>
      <c r="E147" s="103">
        <v>350.0</v>
      </c>
      <c r="F147" s="104">
        <v>15.0</v>
      </c>
      <c r="G147" s="132">
        <v>200.0</v>
      </c>
      <c r="H147" s="247" t="str">
        <f t="shared" si="6"/>
        <v>#REF!</v>
      </c>
      <c r="I147" s="239"/>
      <c r="J147" s="241" t="s">
        <v>80</v>
      </c>
      <c r="K147" s="103" t="s">
        <v>1181</v>
      </c>
      <c r="L147" s="109">
        <v>1450.0</v>
      </c>
      <c r="M147" s="109">
        <v>440.0</v>
      </c>
      <c r="N147" s="110">
        <v>0.515565</v>
      </c>
      <c r="O147" s="185"/>
      <c r="P147" s="185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ht="15.75" customHeight="1">
      <c r="A148" s="194"/>
      <c r="B148" s="112" t="s">
        <v>1190</v>
      </c>
      <c r="C148" s="103">
        <v>30.0</v>
      </c>
      <c r="D148" s="104">
        <v>40.0</v>
      </c>
      <c r="E148" s="103">
        <v>600.0</v>
      </c>
      <c r="F148" s="104">
        <v>10.0</v>
      </c>
      <c r="G148" s="132">
        <v>250.0</v>
      </c>
      <c r="H148" s="247" t="str">
        <f t="shared" si="6"/>
        <v>#REF!</v>
      </c>
      <c r="I148" s="239"/>
      <c r="J148" s="241" t="s">
        <v>80</v>
      </c>
      <c r="K148" s="103" t="s">
        <v>1181</v>
      </c>
      <c r="L148" s="109">
        <v>1450.0</v>
      </c>
      <c r="M148" s="109">
        <v>440.0</v>
      </c>
      <c r="N148" s="110">
        <v>0.5628</v>
      </c>
      <c r="O148" s="185"/>
      <c r="P148" s="185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ht="7.5" customHeight="1">
      <c r="A149" s="194"/>
      <c r="B149" s="195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85"/>
      <c r="P149" s="185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ht="24.75" customHeight="1">
      <c r="A150" s="194"/>
      <c r="B150" s="73" t="s">
        <v>124</v>
      </c>
      <c r="C150" s="74" t="s">
        <v>125</v>
      </c>
      <c r="D150" s="75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185"/>
      <c r="P150" s="185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ht="24.75" customHeight="1">
      <c r="A151" s="194"/>
      <c r="B151" s="78" t="s">
        <v>126</v>
      </c>
      <c r="C151" s="79" t="s">
        <v>898</v>
      </c>
      <c r="D151" s="80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185"/>
      <c r="P151" s="185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ht="24.75" customHeight="1">
      <c r="A152" s="194"/>
      <c r="B152" s="78" t="s">
        <v>128</v>
      </c>
      <c r="C152" s="79" t="s">
        <v>1191</v>
      </c>
      <c r="D152" s="80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185"/>
      <c r="P152" s="185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ht="24.75" customHeight="1">
      <c r="A153" s="194"/>
      <c r="B153" s="82" t="s">
        <v>130</v>
      </c>
      <c r="C153" s="79" t="s">
        <v>1192</v>
      </c>
      <c r="D153" s="83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185"/>
      <c r="P153" s="185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ht="24.75" customHeight="1">
      <c r="A154" s="194"/>
      <c r="B154" s="82" t="s">
        <v>613</v>
      </c>
      <c r="C154" s="85" t="s">
        <v>1094</v>
      </c>
      <c r="D154" s="83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185"/>
      <c r="P154" s="185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ht="15.75" customHeight="1">
      <c r="A155" s="194"/>
      <c r="B155" s="195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ht="15.75" customHeight="1">
      <c r="A156" s="194"/>
      <c r="B156" s="195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ht="31.5" customHeight="1">
      <c r="A157" s="199"/>
      <c r="B157" s="14" t="s">
        <v>1193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85"/>
      <c r="P157" s="185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ht="6.0" customHeight="1">
      <c r="A158" s="194"/>
      <c r="B158" s="201"/>
      <c r="C158" s="202"/>
      <c r="D158" s="202"/>
      <c r="E158" s="202"/>
      <c r="F158" s="202"/>
      <c r="G158" s="202"/>
      <c r="H158" s="202"/>
      <c r="I158" s="202"/>
      <c r="J158" s="202"/>
      <c r="K158" s="202"/>
      <c r="L158" s="194"/>
      <c r="M158" s="194"/>
      <c r="N158" s="194"/>
      <c r="O158" s="185"/>
      <c r="P158" s="185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ht="18.0" customHeight="1">
      <c r="A159" s="203"/>
      <c r="B159" s="204" t="s">
        <v>3</v>
      </c>
      <c r="C159" s="23"/>
      <c r="D159" s="24"/>
      <c r="E159" s="205"/>
      <c r="F159" s="26"/>
      <c r="G159" s="206" t="s">
        <v>6</v>
      </c>
      <c r="H159" s="206"/>
      <c r="I159" s="237" t="s">
        <v>7</v>
      </c>
      <c r="J159" s="26"/>
      <c r="K159" s="209"/>
      <c r="L159" s="210"/>
      <c r="M159" s="211" t="s">
        <v>10</v>
      </c>
      <c r="N159" s="211" t="s">
        <v>11</v>
      </c>
      <c r="O159" s="185"/>
      <c r="P159" s="185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ht="18.0" customHeight="1">
      <c r="A160" s="203"/>
      <c r="B160" s="213"/>
      <c r="C160" s="35"/>
      <c r="D160" s="36"/>
      <c r="E160" s="214"/>
      <c r="F160" s="123"/>
      <c r="G160" s="215"/>
      <c r="H160" s="248"/>
      <c r="I160" s="217"/>
      <c r="J160" s="123"/>
      <c r="K160" s="218"/>
      <c r="L160" s="219"/>
      <c r="M160" s="202"/>
      <c r="N160" s="202"/>
      <c r="O160" s="185"/>
      <c r="P160" s="185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ht="18.0" customHeight="1">
      <c r="A161" s="203"/>
      <c r="B161" s="220"/>
      <c r="C161" s="221"/>
      <c r="D161" s="222"/>
      <c r="E161" s="223"/>
      <c r="F161" s="224"/>
      <c r="G161" s="225" t="s">
        <v>19</v>
      </c>
      <c r="H161" s="249"/>
      <c r="I161" s="250"/>
      <c r="J161" s="251"/>
      <c r="K161" s="221"/>
      <c r="L161" s="229"/>
      <c r="M161" s="230" t="s">
        <v>23</v>
      </c>
      <c r="N161" s="231" t="s">
        <v>24</v>
      </c>
      <c r="O161" s="185"/>
      <c r="P161" s="185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ht="18.0" customHeight="1">
      <c r="A162" s="203"/>
      <c r="B162" s="112" t="s">
        <v>1194</v>
      </c>
      <c r="C162" s="103"/>
      <c r="D162" s="104"/>
      <c r="E162" s="103"/>
      <c r="F162" s="104"/>
      <c r="G162" s="132">
        <v>100.0</v>
      </c>
      <c r="H162" s="105"/>
      <c r="I162" s="252"/>
      <c r="J162" s="179">
        <v>218.29891439999997</v>
      </c>
      <c r="K162" s="103"/>
      <c r="L162" s="109"/>
      <c r="M162" s="109"/>
      <c r="N162" s="110"/>
      <c r="O162" s="185"/>
      <c r="P162" s="185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ht="18.0" customHeight="1">
      <c r="A163" s="203"/>
      <c r="B163" s="112" t="s">
        <v>1195</v>
      </c>
      <c r="C163" s="103"/>
      <c r="D163" s="104"/>
      <c r="E163" s="103"/>
      <c r="F163" s="104"/>
      <c r="G163" s="132">
        <v>150.0</v>
      </c>
      <c r="H163" s="105"/>
      <c r="I163" s="252"/>
      <c r="J163" s="179">
        <v>463.8851931</v>
      </c>
      <c r="K163" s="103"/>
      <c r="L163" s="109"/>
      <c r="M163" s="109"/>
      <c r="N163" s="110"/>
      <c r="O163" s="185"/>
      <c r="P163" s="185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ht="18.0" customHeight="1">
      <c r="A164" s="203"/>
      <c r="B164" s="112" t="s">
        <v>1196</v>
      </c>
      <c r="C164" s="103"/>
      <c r="D164" s="104"/>
      <c r="E164" s="103"/>
      <c r="F164" s="104"/>
      <c r="G164" s="132">
        <v>200.0</v>
      </c>
      <c r="H164" s="105"/>
      <c r="I164" s="252"/>
      <c r="J164" s="179">
        <v>736.7588360999999</v>
      </c>
      <c r="K164" s="103"/>
      <c r="L164" s="109"/>
      <c r="M164" s="109"/>
      <c r="N164" s="110"/>
      <c r="O164" s="185"/>
      <c r="P164" s="185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ht="18.0" customHeight="1">
      <c r="A165" s="203"/>
      <c r="B165" s="112" t="s">
        <v>1197</v>
      </c>
      <c r="C165" s="103"/>
      <c r="D165" s="104"/>
      <c r="E165" s="103"/>
      <c r="F165" s="104"/>
      <c r="G165" s="132">
        <v>40.0</v>
      </c>
      <c r="H165" s="105"/>
      <c r="I165" s="252"/>
      <c r="J165" s="179">
        <v>70.1675082</v>
      </c>
      <c r="K165" s="103"/>
      <c r="L165" s="109"/>
      <c r="M165" s="109"/>
      <c r="N165" s="110"/>
      <c r="O165" s="185"/>
      <c r="P165" s="185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ht="18.0" customHeight="1">
      <c r="A166" s="203"/>
      <c r="B166" s="112" t="s">
        <v>1198</v>
      </c>
      <c r="C166" s="103"/>
      <c r="D166" s="104"/>
      <c r="E166" s="103"/>
      <c r="F166" s="104"/>
      <c r="G166" s="132">
        <v>50.0</v>
      </c>
      <c r="H166" s="105"/>
      <c r="I166" s="252"/>
      <c r="J166" s="179">
        <v>81.86209290000001</v>
      </c>
      <c r="K166" s="103"/>
      <c r="L166" s="109"/>
      <c r="M166" s="109"/>
      <c r="N166" s="110"/>
      <c r="O166" s="185"/>
      <c r="P166" s="185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ht="18.0" customHeight="1">
      <c r="A167" s="203"/>
      <c r="B167" s="112" t="s">
        <v>1199</v>
      </c>
      <c r="C167" s="103"/>
      <c r="D167" s="104"/>
      <c r="E167" s="103"/>
      <c r="F167" s="104"/>
      <c r="G167" s="132">
        <v>65.0</v>
      </c>
      <c r="H167" s="105"/>
      <c r="I167" s="252"/>
      <c r="J167" s="179">
        <v>109.14945719999999</v>
      </c>
      <c r="K167" s="103"/>
      <c r="L167" s="109"/>
      <c r="M167" s="109"/>
      <c r="N167" s="110"/>
      <c r="O167" s="185"/>
      <c r="P167" s="185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ht="18.0" customHeight="1">
      <c r="A168" s="203"/>
      <c r="B168" s="112" t="s">
        <v>1200</v>
      </c>
      <c r="C168" s="103"/>
      <c r="D168" s="104"/>
      <c r="E168" s="103"/>
      <c r="F168" s="104"/>
      <c r="G168" s="132">
        <v>80.0</v>
      </c>
      <c r="H168" s="105"/>
      <c r="I168" s="252"/>
      <c r="J168" s="179">
        <v>163.72418580000001</v>
      </c>
      <c r="K168" s="103"/>
      <c r="L168" s="109"/>
      <c r="M168" s="109"/>
      <c r="N168" s="110"/>
      <c r="O168" s="185"/>
      <c r="P168" s="185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ht="18.0" customHeight="1">
      <c r="A169" s="203"/>
      <c r="B169" s="112"/>
      <c r="C169" s="103"/>
      <c r="D169" s="104"/>
      <c r="E169" s="103"/>
      <c r="F169" s="104"/>
      <c r="G169" s="132"/>
      <c r="H169" s="105"/>
      <c r="I169" s="252"/>
      <c r="J169" s="253"/>
      <c r="K169" s="103"/>
      <c r="L169" s="109"/>
      <c r="M169" s="109"/>
      <c r="N169" s="110"/>
      <c r="O169" s="185"/>
      <c r="P169" s="185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ht="15.75" customHeight="1">
      <c r="A170" s="194"/>
      <c r="B170" s="195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ht="15.75" customHeight="1">
      <c r="A171" s="194"/>
      <c r="B171" s="195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ht="15.75" customHeight="1">
      <c r="A172" s="194"/>
      <c r="B172" s="195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ht="15.75" customHeight="1">
      <c r="A173" s="194"/>
      <c r="B173" s="195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ht="15.75" customHeight="1">
      <c r="A174" s="194"/>
      <c r="B174" s="195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ht="15.75" customHeight="1">
      <c r="A175" s="194"/>
      <c r="B175" s="195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ht="15.75" customHeight="1">
      <c r="A176" s="194"/>
      <c r="B176" s="195"/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ht="15.75" customHeight="1">
      <c r="A177" s="194"/>
      <c r="B177" s="195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ht="15.75" customHeight="1">
      <c r="A178" s="194"/>
      <c r="B178" s="195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ht="15.75" customHeight="1">
      <c r="A179" s="194"/>
      <c r="B179" s="195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ht="15.75" customHeight="1">
      <c r="A180" s="194"/>
      <c r="B180" s="195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ht="15.75" customHeight="1">
      <c r="A181" s="194"/>
      <c r="B181" s="195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ht="15.75" customHeight="1">
      <c r="A182" s="194"/>
      <c r="B182" s="195"/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ht="15.75" customHeight="1">
      <c r="A183" s="194"/>
      <c r="B183" s="195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ht="15.75" customHeight="1">
      <c r="A184" s="194"/>
      <c r="B184" s="195"/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ht="15.75" customHeight="1">
      <c r="A185" s="194"/>
      <c r="B185" s="195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ht="15.75" customHeight="1">
      <c r="A186" s="194"/>
      <c r="B186" s="195"/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ht="15.75" customHeight="1">
      <c r="A187" s="194"/>
      <c r="B187" s="195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ht="15.75" customHeight="1">
      <c r="A188" s="194"/>
      <c r="B188" s="195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ht="15.75" customHeight="1">
      <c r="A189" s="194"/>
      <c r="B189" s="195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ht="15.75" customHeight="1">
      <c r="A190" s="194"/>
      <c r="B190" s="195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ht="15.75" customHeight="1">
      <c r="A191" s="194"/>
      <c r="B191" s="195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ht="15.75" customHeight="1">
      <c r="A192" s="194"/>
      <c r="B192" s="195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ht="15.75" customHeight="1">
      <c r="A193" s="194"/>
      <c r="B193" s="195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ht="15.75" customHeight="1">
      <c r="A194" s="194"/>
      <c r="B194" s="195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ht="15.75" customHeight="1">
      <c r="A195" s="194"/>
      <c r="B195" s="195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ht="15.75" customHeight="1">
      <c r="A196" s="194"/>
      <c r="B196" s="195"/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ht="15.75" customHeight="1">
      <c r="A197" s="194"/>
      <c r="B197" s="195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ht="15.75" customHeight="1">
      <c r="A198" s="194"/>
      <c r="B198" s="195"/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ht="15.75" customHeight="1">
      <c r="A199" s="194"/>
      <c r="B199" s="195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ht="15.75" customHeight="1">
      <c r="A200" s="194"/>
      <c r="B200" s="195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ht="15.75" customHeight="1">
      <c r="A201" s="194"/>
      <c r="B201" s="195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ht="15.75" customHeight="1">
      <c r="A202" s="194"/>
      <c r="B202" s="195"/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ht="15.75" customHeight="1">
      <c r="A203" s="194"/>
      <c r="B203" s="195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ht="15.75" customHeight="1">
      <c r="A204" s="194"/>
      <c r="B204" s="195"/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ht="15.75" customHeight="1">
      <c r="A205" s="194"/>
      <c r="B205" s="195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ht="15.75" customHeight="1">
      <c r="A206" s="194"/>
      <c r="B206" s="195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ht="15.75" customHeight="1">
      <c r="A207" s="194"/>
      <c r="B207" s="195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ht="15.75" customHeight="1">
      <c r="A208" s="194"/>
      <c r="B208" s="195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ht="15.75" customHeight="1">
      <c r="A209" s="194"/>
      <c r="B209" s="195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ht="15.75" customHeight="1">
      <c r="A210" s="194"/>
      <c r="B210" s="195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ht="15.75" customHeight="1">
      <c r="A211" s="194"/>
      <c r="B211" s="195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ht="15.75" customHeight="1">
      <c r="A212" s="194"/>
      <c r="B212" s="195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ht="15.75" customHeight="1">
      <c r="A213" s="194"/>
      <c r="B213" s="195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ht="15.75" customHeight="1">
      <c r="A214" s="194"/>
      <c r="B214" s="195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ht="15.75" customHeight="1">
      <c r="A215" s="194"/>
      <c r="B215" s="195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ht="15.75" customHeight="1">
      <c r="A216" s="194"/>
      <c r="B216" s="195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ht="15.75" customHeight="1">
      <c r="A217" s="194"/>
      <c r="B217" s="195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ht="15.75" customHeight="1">
      <c r="A218" s="194"/>
      <c r="B218" s="195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ht="15.75" customHeight="1">
      <c r="A219" s="194"/>
      <c r="B219" s="195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ht="15.75" customHeight="1">
      <c r="A220" s="194"/>
      <c r="B220" s="195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ht="15.75" customHeight="1">
      <c r="A221" s="194"/>
      <c r="B221" s="195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ht="15.75" customHeight="1">
      <c r="A222" s="194"/>
      <c r="B222" s="195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ht="15.75" customHeight="1">
      <c r="A223" s="194"/>
      <c r="B223" s="195"/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ht="15.75" customHeight="1">
      <c r="A224" s="194"/>
      <c r="B224" s="195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ht="15.75" customHeight="1">
      <c r="A225" s="194"/>
      <c r="B225" s="195"/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ht="15.75" customHeight="1">
      <c r="A226" s="194"/>
      <c r="B226" s="195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ht="15.75" customHeight="1">
      <c r="A227" s="194"/>
      <c r="B227" s="195"/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ht="15.75" customHeight="1">
      <c r="A228" s="194"/>
      <c r="B228" s="195"/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ht="15.75" customHeight="1">
      <c r="A229" s="194"/>
      <c r="B229" s="195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ht="15.75" customHeight="1">
      <c r="A230" s="194"/>
      <c r="B230" s="195"/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ht="15.75" customHeight="1">
      <c r="A231" s="194"/>
      <c r="B231" s="195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 ht="15.75" customHeight="1">
      <c r="A232" s="194"/>
      <c r="B232" s="195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ht="15.75" customHeight="1">
      <c r="A233" s="194"/>
      <c r="B233" s="195"/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ht="15.75" customHeight="1">
      <c r="A234" s="194"/>
      <c r="B234" s="195"/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ht="15.75" customHeight="1">
      <c r="A235" s="194"/>
      <c r="B235" s="195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ht="15.75" customHeight="1">
      <c r="A236" s="194"/>
      <c r="B236" s="195"/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ht="15.75" customHeight="1">
      <c r="A237" s="194"/>
      <c r="B237" s="195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ht="15.75" customHeight="1">
      <c r="A238" s="194"/>
      <c r="B238" s="195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ht="15.75" customHeight="1">
      <c r="A239" s="194"/>
      <c r="B239" s="195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ht="15.75" customHeight="1">
      <c r="A240" s="194"/>
      <c r="B240" s="195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ht="15.75" customHeight="1">
      <c r="A241" s="194"/>
      <c r="B241" s="195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ht="15.75" customHeight="1">
      <c r="A242" s="194"/>
      <c r="B242" s="195"/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ht="15.75" customHeight="1">
      <c r="A243" s="194"/>
      <c r="B243" s="195"/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ht="15.75" customHeight="1">
      <c r="A244" s="194"/>
      <c r="B244" s="195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ht="15.75" customHeight="1">
      <c r="A245" s="194"/>
      <c r="B245" s="195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ht="15.75" customHeight="1">
      <c r="A246" s="194"/>
      <c r="B246" s="195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ht="15.75" customHeight="1">
      <c r="A247" s="194"/>
      <c r="B247" s="195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ht="15.75" customHeight="1">
      <c r="A248" s="194"/>
      <c r="B248" s="195"/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ht="15.75" customHeight="1">
      <c r="A249" s="194"/>
      <c r="B249" s="195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ht="15.75" customHeight="1">
      <c r="A250" s="194"/>
      <c r="B250" s="195"/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ht="15.75" customHeight="1">
      <c r="A251" s="194"/>
      <c r="B251" s="195"/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ht="15.75" customHeight="1">
      <c r="A252" s="194"/>
      <c r="B252" s="195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ht="15.75" customHeight="1">
      <c r="A253" s="194"/>
      <c r="B253" s="195"/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ht="15.75" customHeight="1">
      <c r="A254" s="194"/>
      <c r="B254" s="195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ht="15.75" customHeight="1">
      <c r="A255" s="194"/>
      <c r="B255" s="195"/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ht="15.75" customHeight="1">
      <c r="A256" s="194"/>
      <c r="B256" s="195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ht="15.75" customHeight="1">
      <c r="A257" s="194"/>
      <c r="B257" s="195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ht="15.75" customHeight="1">
      <c r="A258" s="194"/>
      <c r="B258" s="195"/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ht="15.75" customHeight="1">
      <c r="A259" s="194"/>
      <c r="B259" s="195"/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ht="15.75" customHeight="1">
      <c r="A260" s="194"/>
      <c r="B260" s="195"/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ht="15.75" customHeight="1">
      <c r="A261" s="194"/>
      <c r="B261" s="195"/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ht="15.75" customHeight="1">
      <c r="A262" s="194"/>
      <c r="B262" s="195"/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ht="15.75" customHeight="1">
      <c r="A263" s="194"/>
      <c r="B263" s="195"/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ht="15.75" customHeight="1">
      <c r="A264" s="194"/>
      <c r="B264" s="195"/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ht="15.75" customHeight="1">
      <c r="A265" s="194"/>
      <c r="B265" s="195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 ht="15.75" customHeight="1">
      <c r="A266" s="194"/>
      <c r="B266" s="195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 ht="15.75" customHeight="1">
      <c r="A267" s="194"/>
      <c r="B267" s="195"/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 ht="15.75" customHeight="1">
      <c r="A268" s="194"/>
      <c r="B268" s="195"/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 ht="15.75" customHeight="1">
      <c r="A269" s="194"/>
      <c r="B269" s="195"/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 ht="15.75" customHeight="1">
      <c r="A270" s="194"/>
      <c r="B270" s="195"/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 ht="15.75" customHeight="1">
      <c r="A271" s="194"/>
      <c r="B271" s="195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 ht="15.75" customHeight="1">
      <c r="A272" s="194"/>
      <c r="B272" s="195"/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 ht="15.75" customHeight="1">
      <c r="A273" s="194"/>
      <c r="B273" s="195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 ht="15.75" customHeight="1">
      <c r="A274" s="194"/>
      <c r="B274" s="195"/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 ht="15.75" customHeight="1">
      <c r="A275" s="194"/>
      <c r="B275" s="195"/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 ht="15.75" customHeight="1">
      <c r="A276" s="194"/>
      <c r="B276" s="195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 ht="15.75" customHeight="1">
      <c r="A277" s="194"/>
      <c r="B277" s="195"/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 ht="15.75" customHeight="1">
      <c r="A278" s="194"/>
      <c r="B278" s="195"/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 ht="15.75" customHeight="1">
      <c r="A279" s="194"/>
      <c r="B279" s="195"/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 ht="15.75" customHeight="1">
      <c r="A280" s="194"/>
      <c r="B280" s="195"/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 ht="15.75" customHeight="1">
      <c r="A281" s="194"/>
      <c r="B281" s="195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 ht="15.75" customHeight="1">
      <c r="A282" s="194"/>
      <c r="B282" s="195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 ht="15.75" customHeight="1">
      <c r="A283" s="194"/>
      <c r="B283" s="195"/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 ht="15.75" customHeight="1">
      <c r="A284" s="194"/>
      <c r="B284" s="195"/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 ht="15.75" customHeight="1">
      <c r="A285" s="194"/>
      <c r="B285" s="195"/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 ht="15.75" customHeight="1">
      <c r="A286" s="194"/>
      <c r="B286" s="195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 ht="15.75" customHeight="1">
      <c r="A287" s="194"/>
      <c r="B287" s="195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 ht="15.75" customHeight="1">
      <c r="A288" s="194"/>
      <c r="B288" s="195"/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 ht="15.75" customHeight="1">
      <c r="A289" s="194"/>
      <c r="B289" s="195"/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 ht="15.75" customHeight="1">
      <c r="A290" s="194"/>
      <c r="B290" s="195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 ht="15.75" customHeight="1">
      <c r="A291" s="194"/>
      <c r="B291" s="195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 ht="15.75" customHeight="1">
      <c r="A292" s="194"/>
      <c r="B292" s="195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 ht="15.75" customHeight="1">
      <c r="A293" s="194"/>
      <c r="B293" s="195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 ht="15.75" customHeight="1">
      <c r="A294" s="194"/>
      <c r="B294" s="195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 ht="15.75" customHeight="1">
      <c r="A295" s="194"/>
      <c r="B295" s="195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 ht="15.75" customHeight="1">
      <c r="A296" s="194"/>
      <c r="B296" s="195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 ht="15.75" customHeight="1">
      <c r="A297" s="194"/>
      <c r="B297" s="195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 ht="15.75" customHeight="1">
      <c r="A298" s="194"/>
      <c r="B298" s="195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 ht="15.75" customHeight="1">
      <c r="A299" s="194"/>
      <c r="B299" s="195"/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 ht="15.75" customHeight="1">
      <c r="A300" s="194"/>
      <c r="B300" s="195"/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 ht="15.75" customHeight="1">
      <c r="A301" s="194"/>
      <c r="B301" s="195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 ht="15.75" customHeight="1">
      <c r="A302" s="194"/>
      <c r="B302" s="195"/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 ht="15.75" customHeight="1">
      <c r="A303" s="194"/>
      <c r="B303" s="195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 ht="15.75" customHeight="1">
      <c r="A304" s="194"/>
      <c r="B304" s="195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 ht="15.75" customHeight="1">
      <c r="A305" s="194"/>
      <c r="B305" s="195"/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 ht="15.75" customHeight="1">
      <c r="A306" s="194"/>
      <c r="B306" s="195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 ht="15.75" customHeight="1">
      <c r="A307" s="194"/>
      <c r="B307" s="195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 ht="15.75" customHeight="1">
      <c r="A308" s="194"/>
      <c r="B308" s="195"/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 ht="15.75" customHeight="1">
      <c r="A309" s="194"/>
      <c r="B309" s="195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 ht="15.75" customHeight="1">
      <c r="A310" s="194"/>
      <c r="B310" s="195"/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 ht="15.75" customHeight="1">
      <c r="A311" s="194"/>
      <c r="B311" s="195"/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 ht="15.75" customHeight="1">
      <c r="A312" s="194"/>
      <c r="B312" s="195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 ht="15.75" customHeight="1">
      <c r="A313" s="194"/>
      <c r="B313" s="195"/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 ht="15.75" customHeight="1">
      <c r="A314" s="194"/>
      <c r="B314" s="195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 ht="15.75" customHeight="1">
      <c r="A315" s="194"/>
      <c r="B315" s="195"/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 ht="15.75" customHeight="1">
      <c r="A316" s="194"/>
      <c r="B316" s="195"/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 ht="15.75" customHeight="1">
      <c r="A317" s="194"/>
      <c r="B317" s="195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 ht="15.75" customHeight="1">
      <c r="A318" s="194"/>
      <c r="B318" s="195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 ht="15.75" customHeight="1">
      <c r="A319" s="194"/>
      <c r="B319" s="195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 ht="15.75" customHeight="1">
      <c r="A320" s="194"/>
      <c r="B320" s="195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 ht="15.75" customHeight="1">
      <c r="A321" s="194"/>
      <c r="B321" s="195"/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 ht="15.75" customHeight="1">
      <c r="A322" s="194"/>
      <c r="B322" s="195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 ht="15.75" customHeight="1">
      <c r="A323" s="194"/>
      <c r="B323" s="195"/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 ht="15.75" customHeight="1">
      <c r="A324" s="194"/>
      <c r="B324" s="195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 ht="15.75" customHeight="1">
      <c r="A325" s="194"/>
      <c r="B325" s="195"/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 ht="15.75" customHeight="1">
      <c r="A326" s="194"/>
      <c r="B326" s="195"/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 ht="15.75" customHeight="1">
      <c r="A327" s="194"/>
      <c r="B327" s="195"/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 ht="15.75" customHeight="1">
      <c r="A328" s="194"/>
      <c r="B328" s="195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 ht="15.75" customHeight="1">
      <c r="A329" s="194"/>
      <c r="B329" s="195"/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 ht="15.75" customHeight="1">
      <c r="A330" s="194"/>
      <c r="B330" s="195"/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 ht="15.75" customHeight="1">
      <c r="A331" s="194"/>
      <c r="B331" s="195"/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 ht="15.75" customHeight="1">
      <c r="A332" s="194"/>
      <c r="B332" s="195"/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 ht="15.75" customHeight="1">
      <c r="A333" s="194"/>
      <c r="B333" s="195"/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 ht="15.75" customHeight="1">
      <c r="A334" s="194"/>
      <c r="B334" s="195"/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 ht="15.75" customHeight="1">
      <c r="A335" s="194"/>
      <c r="B335" s="195"/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 ht="15.75" customHeight="1">
      <c r="A336" s="194"/>
      <c r="B336" s="195"/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 ht="15.75" customHeight="1">
      <c r="A337" s="194"/>
      <c r="B337" s="195"/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 ht="15.75" customHeight="1">
      <c r="A338" s="194"/>
      <c r="B338" s="195"/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 ht="15.75" customHeight="1">
      <c r="A339" s="194"/>
      <c r="B339" s="195"/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 ht="15.75" customHeight="1">
      <c r="A340" s="194"/>
      <c r="B340" s="195"/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 ht="15.75" customHeight="1">
      <c r="A341" s="194"/>
      <c r="B341" s="195"/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 ht="15.75" customHeight="1">
      <c r="A342" s="194"/>
      <c r="B342" s="195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 ht="15.75" customHeight="1">
      <c r="A343" s="194"/>
      <c r="B343" s="195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 ht="15.75" customHeight="1">
      <c r="A344" s="194"/>
      <c r="B344" s="195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 ht="15.75" customHeight="1">
      <c r="A345" s="194"/>
      <c r="B345" s="195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 ht="15.75" customHeight="1">
      <c r="A346" s="194"/>
      <c r="B346" s="195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 ht="15.75" customHeight="1">
      <c r="A347" s="194"/>
      <c r="B347" s="195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 ht="15.75" customHeight="1">
      <c r="A348" s="194"/>
      <c r="B348" s="195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 ht="15.75" customHeight="1">
      <c r="A349" s="194"/>
      <c r="B349" s="195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 ht="15.75" customHeight="1">
      <c r="A350" s="194"/>
      <c r="B350" s="195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 ht="15.75" customHeight="1">
      <c r="A351" s="194"/>
      <c r="B351" s="195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 ht="15.75" customHeight="1">
      <c r="A352" s="194"/>
      <c r="B352" s="195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 ht="15.75" customHeight="1">
      <c r="A353" s="194"/>
      <c r="B353" s="195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 ht="15.75" customHeight="1">
      <c r="A354" s="194"/>
      <c r="B354" s="195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 ht="15.75" customHeight="1">
      <c r="A355" s="194"/>
      <c r="B355" s="195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 ht="15.75" customHeight="1">
      <c r="A356" s="194"/>
      <c r="B356" s="195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 ht="15.75" customHeight="1">
      <c r="A357" s="194"/>
      <c r="B357" s="195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 ht="15.75" customHeight="1">
      <c r="A358" s="194"/>
      <c r="B358" s="195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 ht="15.75" customHeight="1">
      <c r="A359" s="194"/>
      <c r="B359" s="195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 ht="15.75" customHeight="1">
      <c r="A360" s="194"/>
      <c r="B360" s="195"/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 ht="15.75" customHeight="1">
      <c r="A361" s="194"/>
      <c r="B361" s="195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 ht="15.75" customHeight="1">
      <c r="A362" s="194"/>
      <c r="B362" s="195"/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 ht="15.75" customHeight="1">
      <c r="A363" s="194"/>
      <c r="B363" s="195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 ht="15.75" customHeight="1">
      <c r="A364" s="194"/>
      <c r="B364" s="195"/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 ht="15.75" customHeight="1">
      <c r="A365" s="194"/>
      <c r="B365" s="195"/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 ht="15.75" customHeight="1">
      <c r="A366" s="194"/>
      <c r="B366" s="195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 ht="15.75" customHeight="1">
      <c r="A367" s="194"/>
      <c r="B367" s="195"/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 ht="15.75" customHeight="1">
      <c r="A368" s="194"/>
      <c r="B368" s="195"/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 ht="15.75" customHeight="1">
      <c r="A369" s="194"/>
      <c r="B369" s="195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 ht="15.75" customHeight="1">
      <c r="A370" s="194"/>
      <c r="B370" s="195"/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 ht="15.75" customHeight="1">
      <c r="A371" s="194"/>
      <c r="B371" s="195"/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 ht="15.75" customHeight="1">
      <c r="A372" s="194"/>
      <c r="B372" s="195"/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 ht="15.75" customHeight="1">
      <c r="A373" s="194"/>
      <c r="B373" s="195"/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 ht="15.75" customHeight="1">
      <c r="A374" s="194"/>
      <c r="B374" s="195"/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 ht="15.75" customHeight="1">
      <c r="A375" s="194"/>
      <c r="B375" s="195"/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 ht="15.75" customHeight="1">
      <c r="A376" s="194"/>
      <c r="B376" s="195"/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 ht="15.75" customHeight="1">
      <c r="A377" s="194"/>
      <c r="B377" s="195"/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 ht="15.75" customHeight="1">
      <c r="A378" s="194"/>
      <c r="B378" s="195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 ht="15.75" customHeight="1">
      <c r="A379" s="194"/>
      <c r="B379" s="195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 ht="15.75" customHeight="1">
      <c r="A380" s="194"/>
      <c r="B380" s="195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 ht="15.75" customHeight="1">
      <c r="A381" s="194"/>
      <c r="B381" s="195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 ht="15.75" customHeight="1">
      <c r="A382" s="194"/>
      <c r="B382" s="195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 ht="15.75" customHeight="1">
      <c r="A383" s="194"/>
      <c r="B383" s="195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 ht="15.75" customHeight="1">
      <c r="A384" s="194"/>
      <c r="B384" s="195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 ht="15.75" customHeight="1">
      <c r="A385" s="194"/>
      <c r="B385" s="195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 ht="15.75" customHeight="1">
      <c r="A386" s="194"/>
      <c r="B386" s="195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 ht="15.75" customHeight="1">
      <c r="A387" s="194"/>
      <c r="B387" s="195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 ht="15.75" customHeight="1">
      <c r="A388" s="194"/>
      <c r="B388" s="195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 ht="15.75" customHeight="1">
      <c r="A389" s="194"/>
      <c r="B389" s="195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 ht="15.75" customHeight="1">
      <c r="A390" s="194"/>
      <c r="B390" s="195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 ht="15.75" customHeight="1">
      <c r="A391" s="194"/>
      <c r="B391" s="195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 ht="15.75" customHeight="1">
      <c r="A392" s="194"/>
      <c r="B392" s="195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 ht="15.75" customHeight="1">
      <c r="A393" s="194"/>
      <c r="B393" s="195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 ht="15.75" customHeight="1">
      <c r="A394" s="194"/>
      <c r="B394" s="195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 ht="15.75" customHeight="1">
      <c r="A395" s="194"/>
      <c r="B395" s="195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 ht="15.75" customHeight="1">
      <c r="A396" s="194"/>
      <c r="B396" s="195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 ht="15.75" customHeight="1">
      <c r="A397" s="194"/>
      <c r="B397" s="195"/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 ht="15.75" customHeight="1">
      <c r="A398" s="194"/>
      <c r="B398" s="195"/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 ht="15.75" customHeight="1">
      <c r="A399" s="194"/>
      <c r="B399" s="195"/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 ht="15.75" customHeight="1">
      <c r="A400" s="194"/>
      <c r="B400" s="195"/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 ht="15.75" customHeight="1">
      <c r="A401" s="194"/>
      <c r="B401" s="195"/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 ht="15.75" customHeight="1">
      <c r="A402" s="194"/>
      <c r="B402" s="195"/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 ht="15.75" customHeight="1">
      <c r="A403" s="194"/>
      <c r="B403" s="195"/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 ht="15.75" customHeight="1">
      <c r="A404" s="194"/>
      <c r="B404" s="195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 ht="15.75" customHeight="1">
      <c r="A405" s="194"/>
      <c r="B405" s="195"/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 ht="15.75" customHeight="1">
      <c r="A406" s="194"/>
      <c r="B406" s="195"/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 ht="15.75" customHeight="1">
      <c r="A407" s="194"/>
      <c r="B407" s="195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 ht="15.75" customHeight="1">
      <c r="A408" s="194"/>
      <c r="B408" s="195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 ht="15.75" customHeight="1">
      <c r="A409" s="194"/>
      <c r="B409" s="195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 ht="15.75" customHeight="1">
      <c r="A410" s="194"/>
      <c r="B410" s="195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 ht="15.75" customHeight="1">
      <c r="A411" s="194"/>
      <c r="B411" s="195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 ht="15.75" customHeight="1">
      <c r="A412" s="194"/>
      <c r="B412" s="195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 ht="15.75" customHeight="1">
      <c r="A413" s="194"/>
      <c r="B413" s="195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 ht="15.75" customHeight="1">
      <c r="A414" s="194"/>
      <c r="B414" s="195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 ht="15.75" customHeight="1">
      <c r="A415" s="194"/>
      <c r="B415" s="195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 ht="15.75" customHeight="1">
      <c r="A416" s="194"/>
      <c r="B416" s="195"/>
      <c r="C416" s="194"/>
      <c r="D416" s="194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 ht="15.75" customHeight="1">
      <c r="A417" s="194"/>
      <c r="B417" s="195"/>
      <c r="C417" s="194"/>
      <c r="D417" s="194"/>
      <c r="E417" s="194"/>
      <c r="F417" s="194"/>
      <c r="G417" s="194"/>
      <c r="H417" s="194"/>
      <c r="I417" s="194"/>
      <c r="J417" s="194"/>
      <c r="K417" s="194"/>
      <c r="L417" s="194"/>
      <c r="M417" s="194"/>
      <c r="N417" s="194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 ht="15.75" customHeight="1">
      <c r="A418" s="194"/>
      <c r="B418" s="195"/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 ht="15.75" customHeight="1">
      <c r="A419" s="194"/>
      <c r="B419" s="195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 ht="15.75" customHeight="1">
      <c r="A420" s="194"/>
      <c r="B420" s="195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 ht="15.75" customHeight="1">
      <c r="A421" s="194"/>
      <c r="B421" s="195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 ht="15.75" customHeight="1">
      <c r="A422" s="194"/>
      <c r="B422" s="195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 ht="15.75" customHeight="1">
      <c r="A423" s="194"/>
      <c r="B423" s="195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 ht="15.75" customHeight="1">
      <c r="A424" s="194"/>
      <c r="B424" s="195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 ht="15.75" customHeight="1">
      <c r="A425" s="194"/>
      <c r="B425" s="195"/>
      <c r="C425" s="194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 ht="15.75" customHeight="1">
      <c r="A426" s="194"/>
      <c r="B426" s="195"/>
      <c r="C426" s="194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 ht="15.75" customHeight="1">
      <c r="A427" s="194"/>
      <c r="B427" s="195"/>
      <c r="C427" s="194"/>
      <c r="D427" s="194"/>
      <c r="E427" s="194"/>
      <c r="F427" s="194"/>
      <c r="G427" s="194"/>
      <c r="H427" s="194"/>
      <c r="I427" s="194"/>
      <c r="J427" s="194"/>
      <c r="K427" s="194"/>
      <c r="L427" s="194"/>
      <c r="M427" s="194"/>
      <c r="N427" s="194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 ht="15.75" customHeight="1">
      <c r="A428" s="194"/>
      <c r="B428" s="195"/>
      <c r="C428" s="194"/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 ht="15.75" customHeight="1">
      <c r="A429" s="194"/>
      <c r="B429" s="195"/>
      <c r="C429" s="194"/>
      <c r="D429" s="194"/>
      <c r="E429" s="194"/>
      <c r="F429" s="194"/>
      <c r="G429" s="194"/>
      <c r="H429" s="194"/>
      <c r="I429" s="194"/>
      <c r="J429" s="194"/>
      <c r="K429" s="194"/>
      <c r="L429" s="194"/>
      <c r="M429" s="194"/>
      <c r="N429" s="194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 ht="15.75" customHeight="1">
      <c r="A430" s="194"/>
      <c r="B430" s="195"/>
      <c r="C430" s="194"/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 ht="15.75" customHeight="1">
      <c r="A431" s="194"/>
      <c r="B431" s="195"/>
      <c r="C431" s="194"/>
      <c r="D431" s="194"/>
      <c r="E431" s="194"/>
      <c r="F431" s="194"/>
      <c r="G431" s="194"/>
      <c r="H431" s="194"/>
      <c r="I431" s="194"/>
      <c r="J431" s="194"/>
      <c r="K431" s="194"/>
      <c r="L431" s="194"/>
      <c r="M431" s="194"/>
      <c r="N431" s="194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 ht="15.75" customHeight="1">
      <c r="A432" s="194"/>
      <c r="B432" s="195"/>
      <c r="C432" s="194"/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 ht="15.75" customHeight="1">
      <c r="A433" s="194"/>
      <c r="B433" s="195"/>
      <c r="C433" s="194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 ht="15.75" customHeight="1">
      <c r="A434" s="194"/>
      <c r="B434" s="195"/>
      <c r="C434" s="194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 ht="15.75" customHeight="1">
      <c r="A435" s="194"/>
      <c r="B435" s="195"/>
      <c r="C435" s="194"/>
      <c r="D435" s="194"/>
      <c r="E435" s="194"/>
      <c r="F435" s="194"/>
      <c r="G435" s="194"/>
      <c r="H435" s="194"/>
      <c r="I435" s="194"/>
      <c r="J435" s="194"/>
      <c r="K435" s="194"/>
      <c r="L435" s="194"/>
      <c r="M435" s="194"/>
      <c r="N435" s="194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 ht="15.75" customHeight="1">
      <c r="A436" s="194"/>
      <c r="B436" s="195"/>
      <c r="C436" s="194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N436" s="194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 ht="15.75" customHeight="1">
      <c r="A437" s="194"/>
      <c r="B437" s="195"/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 ht="15.75" customHeight="1">
      <c r="A438" s="194"/>
      <c r="B438" s="195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 ht="15.75" customHeight="1">
      <c r="A439" s="194"/>
      <c r="B439" s="195"/>
      <c r="C439" s="194"/>
      <c r="D439" s="194"/>
      <c r="E439" s="194"/>
      <c r="F439" s="194"/>
      <c r="G439" s="194"/>
      <c r="H439" s="194"/>
      <c r="I439" s="194"/>
      <c r="J439" s="194"/>
      <c r="K439" s="194"/>
      <c r="L439" s="194"/>
      <c r="M439" s="194"/>
      <c r="N439" s="194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 ht="15.75" customHeight="1">
      <c r="A440" s="194"/>
      <c r="B440" s="195"/>
      <c r="C440" s="194"/>
      <c r="D440" s="194"/>
      <c r="E440" s="194"/>
      <c r="F440" s="194"/>
      <c r="G440" s="194"/>
      <c r="H440" s="194"/>
      <c r="I440" s="194"/>
      <c r="J440" s="194"/>
      <c r="K440" s="194"/>
      <c r="L440" s="194"/>
      <c r="M440" s="194"/>
      <c r="N440" s="194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 ht="15.75" customHeight="1">
      <c r="A441" s="194"/>
      <c r="B441" s="195"/>
      <c r="C441" s="194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 ht="15.75" customHeight="1">
      <c r="A442" s="194"/>
      <c r="B442" s="195"/>
      <c r="C442" s="194"/>
      <c r="D442" s="194"/>
      <c r="E442" s="194"/>
      <c r="F442" s="194"/>
      <c r="G442" s="194"/>
      <c r="H442" s="194"/>
      <c r="I442" s="194"/>
      <c r="J442" s="194"/>
      <c r="K442" s="194"/>
      <c r="L442" s="194"/>
      <c r="M442" s="194"/>
      <c r="N442" s="194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 ht="15.75" customHeight="1">
      <c r="A443" s="194"/>
      <c r="B443" s="195"/>
      <c r="C443" s="194"/>
      <c r="D443" s="194"/>
      <c r="E443" s="194"/>
      <c r="F443" s="194"/>
      <c r="G443" s="194"/>
      <c r="H443" s="194"/>
      <c r="I443" s="194"/>
      <c r="J443" s="194"/>
      <c r="K443" s="194"/>
      <c r="L443" s="194"/>
      <c r="M443" s="194"/>
      <c r="N443" s="194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 ht="15.75" customHeight="1">
      <c r="A444" s="194"/>
      <c r="B444" s="195"/>
      <c r="C444" s="194"/>
      <c r="D444" s="194"/>
      <c r="E444" s="194"/>
      <c r="F444" s="194"/>
      <c r="G444" s="194"/>
      <c r="H444" s="194"/>
      <c r="I444" s="194"/>
      <c r="J444" s="194"/>
      <c r="K444" s="194"/>
      <c r="L444" s="194"/>
      <c r="M444" s="194"/>
      <c r="N444" s="194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 ht="15.75" customHeight="1">
      <c r="A445" s="194"/>
      <c r="B445" s="195"/>
      <c r="C445" s="194"/>
      <c r="D445" s="194"/>
      <c r="E445" s="194"/>
      <c r="F445" s="194"/>
      <c r="G445" s="194"/>
      <c r="H445" s="194"/>
      <c r="I445" s="194"/>
      <c r="J445" s="194"/>
      <c r="K445" s="194"/>
      <c r="L445" s="194"/>
      <c r="M445" s="194"/>
      <c r="N445" s="194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 ht="15.75" customHeight="1">
      <c r="A446" s="194"/>
      <c r="B446" s="195"/>
      <c r="C446" s="194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 ht="15.75" customHeight="1">
      <c r="A447" s="194"/>
      <c r="B447" s="195"/>
      <c r="C447" s="194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 ht="15.75" customHeight="1">
      <c r="A448" s="194"/>
      <c r="B448" s="195"/>
      <c r="C448" s="194"/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 ht="15.75" customHeight="1">
      <c r="A449" s="194"/>
      <c r="B449" s="195"/>
      <c r="C449" s="194"/>
      <c r="D449" s="194"/>
      <c r="E449" s="194"/>
      <c r="F449" s="194"/>
      <c r="G449" s="194"/>
      <c r="H449" s="194"/>
      <c r="I449" s="194"/>
      <c r="J449" s="194"/>
      <c r="K449" s="194"/>
      <c r="L449" s="194"/>
      <c r="M449" s="194"/>
      <c r="N449" s="194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 ht="15.75" customHeight="1">
      <c r="A450" s="194"/>
      <c r="B450" s="195"/>
      <c r="C450" s="194"/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 ht="15.75" customHeight="1">
      <c r="A451" s="194"/>
      <c r="B451" s="195"/>
      <c r="C451" s="194"/>
      <c r="D451" s="194"/>
      <c r="E451" s="194"/>
      <c r="F451" s="194"/>
      <c r="G451" s="194"/>
      <c r="H451" s="194"/>
      <c r="I451" s="194"/>
      <c r="J451" s="194"/>
      <c r="K451" s="194"/>
      <c r="L451" s="194"/>
      <c r="M451" s="194"/>
      <c r="N451" s="194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 ht="15.75" customHeight="1">
      <c r="A452" s="194"/>
      <c r="B452" s="195"/>
      <c r="C452" s="194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 ht="15.75" customHeight="1">
      <c r="A453" s="194"/>
      <c r="B453" s="195"/>
      <c r="C453" s="194"/>
      <c r="D453" s="194"/>
      <c r="E453" s="194"/>
      <c r="F453" s="194"/>
      <c r="G453" s="194"/>
      <c r="H453" s="194"/>
      <c r="I453" s="194"/>
      <c r="J453" s="194"/>
      <c r="K453" s="194"/>
      <c r="L453" s="194"/>
      <c r="M453" s="194"/>
      <c r="N453" s="194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 ht="15.75" customHeight="1">
      <c r="A454" s="194"/>
      <c r="B454" s="195"/>
      <c r="C454" s="194"/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 ht="15.75" customHeight="1">
      <c r="A455" s="194"/>
      <c r="B455" s="195"/>
      <c r="C455" s="194"/>
      <c r="D455" s="194"/>
      <c r="E455" s="194"/>
      <c r="F455" s="194"/>
      <c r="G455" s="194"/>
      <c r="H455" s="194"/>
      <c r="I455" s="194"/>
      <c r="J455" s="194"/>
      <c r="K455" s="194"/>
      <c r="L455" s="194"/>
      <c r="M455" s="194"/>
      <c r="N455" s="194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 ht="15.75" customHeight="1">
      <c r="A456" s="194"/>
      <c r="B456" s="195"/>
      <c r="C456" s="194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 ht="15.75" customHeight="1">
      <c r="A457" s="194"/>
      <c r="B457" s="195"/>
      <c r="C457" s="194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 ht="15.75" customHeight="1">
      <c r="A458" s="194"/>
      <c r="B458" s="195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 ht="15.75" customHeight="1">
      <c r="A459" s="194"/>
      <c r="B459" s="195"/>
      <c r="C459" s="194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 ht="15.75" customHeight="1">
      <c r="A460" s="194"/>
      <c r="B460" s="195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 ht="15.75" customHeight="1">
      <c r="A461" s="194"/>
      <c r="B461" s="195"/>
      <c r="C461" s="194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 ht="15.75" customHeight="1">
      <c r="A462" s="194"/>
      <c r="B462" s="195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 ht="15.75" customHeight="1">
      <c r="A463" s="194"/>
      <c r="B463" s="195"/>
      <c r="C463" s="194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 ht="15.75" customHeight="1">
      <c r="A464" s="194"/>
      <c r="B464" s="195"/>
      <c r="C464" s="194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 ht="15.75" customHeight="1">
      <c r="A465" s="194"/>
      <c r="B465" s="195"/>
      <c r="C465" s="194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 ht="15.75" customHeight="1">
      <c r="A466" s="194"/>
      <c r="B466" s="195"/>
      <c r="C466" s="194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 ht="15.75" customHeight="1">
      <c r="A467" s="194"/>
      <c r="B467" s="195"/>
      <c r="C467" s="194"/>
      <c r="D467" s="194"/>
      <c r="E467" s="194"/>
      <c r="F467" s="194"/>
      <c r="G467" s="194"/>
      <c r="H467" s="194"/>
      <c r="I467" s="194"/>
      <c r="J467" s="194"/>
      <c r="K467" s="194"/>
      <c r="L467" s="194"/>
      <c r="M467" s="194"/>
      <c r="N467" s="194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 ht="15.75" customHeight="1">
      <c r="A468" s="194"/>
      <c r="B468" s="195"/>
      <c r="C468" s="194"/>
      <c r="D468" s="194"/>
      <c r="E468" s="194"/>
      <c r="F468" s="194"/>
      <c r="G468" s="194"/>
      <c r="H468" s="194"/>
      <c r="I468" s="194"/>
      <c r="J468" s="194"/>
      <c r="K468" s="194"/>
      <c r="L468" s="194"/>
      <c r="M468" s="194"/>
      <c r="N468" s="194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 ht="15.75" customHeight="1">
      <c r="A469" s="194"/>
      <c r="B469" s="195"/>
      <c r="C469" s="194"/>
      <c r="D469" s="194"/>
      <c r="E469" s="194"/>
      <c r="F469" s="194"/>
      <c r="G469" s="194"/>
      <c r="H469" s="194"/>
      <c r="I469" s="194"/>
      <c r="J469" s="194"/>
      <c r="K469" s="194"/>
      <c r="L469" s="194"/>
      <c r="M469" s="194"/>
      <c r="N469" s="194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 ht="15.75" customHeight="1">
      <c r="A470" s="194"/>
      <c r="B470" s="195"/>
      <c r="C470" s="194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 ht="15.75" customHeight="1">
      <c r="A471" s="194"/>
      <c r="B471" s="195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 ht="15.75" customHeight="1">
      <c r="A472" s="194"/>
      <c r="B472" s="195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 ht="15.75" customHeight="1">
      <c r="A473" s="194"/>
      <c r="B473" s="195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 ht="15.75" customHeight="1">
      <c r="A474" s="194"/>
      <c r="B474" s="195"/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 ht="15.75" customHeight="1">
      <c r="A475" s="194"/>
      <c r="B475" s="195"/>
      <c r="C475" s="194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 ht="15.75" customHeight="1">
      <c r="A476" s="194"/>
      <c r="B476" s="195"/>
      <c r="C476" s="194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 ht="15.75" customHeight="1">
      <c r="A477" s="194"/>
      <c r="B477" s="195"/>
      <c r="C477" s="194"/>
      <c r="D477" s="194"/>
      <c r="E477" s="194"/>
      <c r="F477" s="194"/>
      <c r="G477" s="194"/>
      <c r="H477" s="194"/>
      <c r="I477" s="194"/>
      <c r="J477" s="194"/>
      <c r="K477" s="194"/>
      <c r="L477" s="194"/>
      <c r="M477" s="194"/>
      <c r="N477" s="194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 ht="15.75" customHeight="1">
      <c r="A478" s="194"/>
      <c r="B478" s="195"/>
      <c r="C478" s="194"/>
      <c r="D478" s="194"/>
      <c r="E478" s="194"/>
      <c r="F478" s="194"/>
      <c r="G478" s="194"/>
      <c r="H478" s="194"/>
      <c r="I478" s="194"/>
      <c r="J478" s="194"/>
      <c r="K478" s="194"/>
      <c r="L478" s="194"/>
      <c r="M478" s="194"/>
      <c r="N478" s="194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 ht="15.75" customHeight="1">
      <c r="A479" s="194"/>
      <c r="B479" s="195"/>
      <c r="C479" s="194"/>
      <c r="D479" s="194"/>
      <c r="E479" s="194"/>
      <c r="F479" s="194"/>
      <c r="G479" s="194"/>
      <c r="H479" s="194"/>
      <c r="I479" s="194"/>
      <c r="J479" s="194"/>
      <c r="K479" s="194"/>
      <c r="L479" s="194"/>
      <c r="M479" s="194"/>
      <c r="N479" s="194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 ht="15.75" customHeight="1">
      <c r="A480" s="194"/>
      <c r="B480" s="195"/>
      <c r="C480" s="194"/>
      <c r="D480" s="194"/>
      <c r="E480" s="194"/>
      <c r="F480" s="194"/>
      <c r="G480" s="194"/>
      <c r="H480" s="194"/>
      <c r="I480" s="194"/>
      <c r="J480" s="194"/>
      <c r="K480" s="194"/>
      <c r="L480" s="194"/>
      <c r="M480" s="194"/>
      <c r="N480" s="194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 ht="15.75" customHeight="1">
      <c r="A481" s="194"/>
      <c r="B481" s="195"/>
      <c r="C481" s="194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 ht="15.75" customHeight="1">
      <c r="A482" s="194"/>
      <c r="B482" s="195"/>
      <c r="C482" s="194"/>
      <c r="D482" s="194"/>
      <c r="E482" s="194"/>
      <c r="F482" s="194"/>
      <c r="G482" s="194"/>
      <c r="H482" s="194"/>
      <c r="I482" s="194"/>
      <c r="J482" s="194"/>
      <c r="K482" s="194"/>
      <c r="L482" s="194"/>
      <c r="M482" s="194"/>
      <c r="N482" s="194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 ht="15.75" customHeight="1">
      <c r="A483" s="194"/>
      <c r="B483" s="195"/>
      <c r="C483" s="194"/>
      <c r="D483" s="194"/>
      <c r="E483" s="194"/>
      <c r="F483" s="194"/>
      <c r="G483" s="194"/>
      <c r="H483" s="194"/>
      <c r="I483" s="194"/>
      <c r="J483" s="194"/>
      <c r="K483" s="194"/>
      <c r="L483" s="194"/>
      <c r="M483" s="194"/>
      <c r="N483" s="194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 ht="15.75" customHeight="1">
      <c r="A484" s="194"/>
      <c r="B484" s="195"/>
      <c r="C484" s="194"/>
      <c r="D484" s="194"/>
      <c r="E484" s="194"/>
      <c r="F484" s="194"/>
      <c r="G484" s="194"/>
      <c r="H484" s="194"/>
      <c r="I484" s="194"/>
      <c r="J484" s="194"/>
      <c r="K484" s="194"/>
      <c r="L484" s="194"/>
      <c r="M484" s="194"/>
      <c r="N484" s="194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 ht="15.75" customHeight="1">
      <c r="A485" s="194"/>
      <c r="B485" s="195"/>
      <c r="C485" s="194"/>
      <c r="D485" s="194"/>
      <c r="E485" s="194"/>
      <c r="F485" s="194"/>
      <c r="G485" s="194"/>
      <c r="H485" s="194"/>
      <c r="I485" s="194"/>
      <c r="J485" s="194"/>
      <c r="K485" s="194"/>
      <c r="L485" s="194"/>
      <c r="M485" s="194"/>
      <c r="N485" s="194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 ht="15.75" customHeight="1">
      <c r="A486" s="194"/>
      <c r="B486" s="195"/>
      <c r="C486" s="194"/>
      <c r="D486" s="194"/>
      <c r="E486" s="194"/>
      <c r="F486" s="194"/>
      <c r="G486" s="194"/>
      <c r="H486" s="194"/>
      <c r="I486" s="194"/>
      <c r="J486" s="194"/>
      <c r="K486" s="194"/>
      <c r="L486" s="194"/>
      <c r="M486" s="194"/>
      <c r="N486" s="194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 ht="15.75" customHeight="1">
      <c r="A487" s="194"/>
      <c r="B487" s="195"/>
      <c r="C487" s="194"/>
      <c r="D487" s="194"/>
      <c r="E487" s="194"/>
      <c r="F487" s="194"/>
      <c r="G487" s="194"/>
      <c r="H487" s="194"/>
      <c r="I487" s="194"/>
      <c r="J487" s="194"/>
      <c r="K487" s="194"/>
      <c r="L487" s="194"/>
      <c r="M487" s="194"/>
      <c r="N487" s="194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 ht="15.75" customHeight="1">
      <c r="A488" s="194"/>
      <c r="B488" s="195"/>
      <c r="C488" s="194"/>
      <c r="D488" s="194"/>
      <c r="E488" s="194"/>
      <c r="F488" s="194"/>
      <c r="G488" s="194"/>
      <c r="H488" s="194"/>
      <c r="I488" s="194"/>
      <c r="J488" s="194"/>
      <c r="K488" s="194"/>
      <c r="L488" s="194"/>
      <c r="M488" s="194"/>
      <c r="N488" s="194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 ht="15.75" customHeight="1">
      <c r="A489" s="194"/>
      <c r="B489" s="195"/>
      <c r="C489" s="194"/>
      <c r="D489" s="194"/>
      <c r="E489" s="194"/>
      <c r="F489" s="194"/>
      <c r="G489" s="194"/>
      <c r="H489" s="194"/>
      <c r="I489" s="194"/>
      <c r="J489" s="194"/>
      <c r="K489" s="194"/>
      <c r="L489" s="194"/>
      <c r="M489" s="194"/>
      <c r="N489" s="194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 ht="15.75" customHeight="1">
      <c r="A490" s="194"/>
      <c r="B490" s="195"/>
      <c r="C490" s="194"/>
      <c r="D490" s="194"/>
      <c r="E490" s="194"/>
      <c r="F490" s="194"/>
      <c r="G490" s="194"/>
      <c r="H490" s="194"/>
      <c r="I490" s="194"/>
      <c r="J490" s="194"/>
      <c r="K490" s="194"/>
      <c r="L490" s="194"/>
      <c r="M490" s="194"/>
      <c r="N490" s="194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 ht="15.75" customHeight="1">
      <c r="A491" s="194"/>
      <c r="B491" s="195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4"/>
      <c r="N491" s="194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 ht="15.75" customHeight="1">
      <c r="A492" s="194"/>
      <c r="B492" s="195"/>
      <c r="C492" s="194"/>
      <c r="D492" s="194"/>
      <c r="E492" s="194"/>
      <c r="F492" s="194"/>
      <c r="G492" s="194"/>
      <c r="H492" s="194"/>
      <c r="I492" s="194"/>
      <c r="J492" s="194"/>
      <c r="K492" s="194"/>
      <c r="L492" s="194"/>
      <c r="M492" s="194"/>
      <c r="N492" s="194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 ht="15.75" customHeight="1">
      <c r="A493" s="194"/>
      <c r="B493" s="195"/>
      <c r="C493" s="194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  <c r="N493" s="194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 ht="15.75" customHeight="1">
      <c r="A494" s="194"/>
      <c r="B494" s="195"/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 ht="15.75" customHeight="1">
      <c r="A495" s="194"/>
      <c r="B495" s="195"/>
      <c r="C495" s="194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 ht="15.75" customHeight="1">
      <c r="A496" s="194"/>
      <c r="B496" s="195"/>
      <c r="C496" s="194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 ht="15.75" customHeight="1">
      <c r="A497" s="194"/>
      <c r="B497" s="195"/>
      <c r="C497" s="194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 ht="15.75" customHeight="1">
      <c r="A498" s="194"/>
      <c r="B498" s="195"/>
      <c r="C498" s="194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 ht="15.75" customHeight="1">
      <c r="A499" s="194"/>
      <c r="B499" s="195"/>
      <c r="C499" s="194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 ht="15.75" customHeight="1">
      <c r="A500" s="194"/>
      <c r="B500" s="195"/>
      <c r="C500" s="194"/>
      <c r="D500" s="194"/>
      <c r="E500" s="194"/>
      <c r="F500" s="194"/>
      <c r="G500" s="194"/>
      <c r="H500" s="194"/>
      <c r="I500" s="194"/>
      <c r="J500" s="194"/>
      <c r="K500" s="194"/>
      <c r="L500" s="194"/>
      <c r="M500" s="194"/>
      <c r="N500" s="194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 ht="15.75" customHeight="1">
      <c r="A501" s="194"/>
      <c r="B501" s="195"/>
      <c r="C501" s="194"/>
      <c r="D501" s="194"/>
      <c r="E501" s="194"/>
      <c r="F501" s="194"/>
      <c r="G501" s="194"/>
      <c r="H501" s="194"/>
      <c r="I501" s="194"/>
      <c r="J501" s="194"/>
      <c r="K501" s="194"/>
      <c r="L501" s="194"/>
      <c r="M501" s="194"/>
      <c r="N501" s="194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 ht="15.75" customHeight="1">
      <c r="A502" s="194"/>
      <c r="B502" s="195"/>
      <c r="C502" s="194"/>
      <c r="D502" s="194"/>
      <c r="E502" s="194"/>
      <c r="F502" s="194"/>
      <c r="G502" s="194"/>
      <c r="H502" s="194"/>
      <c r="I502" s="194"/>
      <c r="J502" s="194"/>
      <c r="K502" s="194"/>
      <c r="L502" s="194"/>
      <c r="M502" s="194"/>
      <c r="N502" s="194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 ht="15.75" customHeight="1">
      <c r="A503" s="194"/>
      <c r="B503" s="195"/>
      <c r="C503" s="194"/>
      <c r="D503" s="194"/>
      <c r="E503" s="194"/>
      <c r="F503" s="194"/>
      <c r="G503" s="194"/>
      <c r="H503" s="194"/>
      <c r="I503" s="194"/>
      <c r="J503" s="194"/>
      <c r="K503" s="194"/>
      <c r="L503" s="194"/>
      <c r="M503" s="194"/>
      <c r="N503" s="194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 ht="15.75" customHeight="1">
      <c r="A504" s="194"/>
      <c r="B504" s="195"/>
      <c r="C504" s="194"/>
      <c r="D504" s="194"/>
      <c r="E504" s="194"/>
      <c r="F504" s="194"/>
      <c r="G504" s="194"/>
      <c r="H504" s="194"/>
      <c r="I504" s="194"/>
      <c r="J504" s="194"/>
      <c r="K504" s="194"/>
      <c r="L504" s="194"/>
      <c r="M504" s="194"/>
      <c r="N504" s="194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 ht="15.75" customHeight="1">
      <c r="A505" s="194"/>
      <c r="B505" s="195"/>
      <c r="C505" s="194"/>
      <c r="D505" s="194"/>
      <c r="E505" s="194"/>
      <c r="F505" s="194"/>
      <c r="G505" s="194"/>
      <c r="H505" s="194"/>
      <c r="I505" s="194"/>
      <c r="J505" s="194"/>
      <c r="K505" s="194"/>
      <c r="L505" s="194"/>
      <c r="M505" s="194"/>
      <c r="N505" s="194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 ht="15.75" customHeight="1">
      <c r="A506" s="194"/>
      <c r="B506" s="195"/>
      <c r="C506" s="194"/>
      <c r="D506" s="194"/>
      <c r="E506" s="194"/>
      <c r="F506" s="194"/>
      <c r="G506" s="194"/>
      <c r="H506" s="194"/>
      <c r="I506" s="194"/>
      <c r="J506" s="194"/>
      <c r="K506" s="194"/>
      <c r="L506" s="194"/>
      <c r="M506" s="194"/>
      <c r="N506" s="194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 ht="15.75" customHeight="1">
      <c r="A507" s="194"/>
      <c r="B507" s="195"/>
      <c r="C507" s="194"/>
      <c r="D507" s="194"/>
      <c r="E507" s="194"/>
      <c r="F507" s="194"/>
      <c r="G507" s="194"/>
      <c r="H507" s="194"/>
      <c r="I507" s="194"/>
      <c r="J507" s="194"/>
      <c r="K507" s="194"/>
      <c r="L507" s="194"/>
      <c r="M507" s="194"/>
      <c r="N507" s="194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 ht="15.75" customHeight="1">
      <c r="A508" s="194"/>
      <c r="B508" s="195"/>
      <c r="C508" s="194"/>
      <c r="D508" s="194"/>
      <c r="E508" s="194"/>
      <c r="F508" s="194"/>
      <c r="G508" s="194"/>
      <c r="H508" s="194"/>
      <c r="I508" s="194"/>
      <c r="J508" s="194"/>
      <c r="K508" s="194"/>
      <c r="L508" s="194"/>
      <c r="M508" s="194"/>
      <c r="N508" s="194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 ht="15.75" customHeight="1">
      <c r="A509" s="194"/>
      <c r="B509" s="195"/>
      <c r="C509" s="194"/>
      <c r="D509" s="194"/>
      <c r="E509" s="194"/>
      <c r="F509" s="194"/>
      <c r="G509" s="194"/>
      <c r="H509" s="194"/>
      <c r="I509" s="194"/>
      <c r="J509" s="194"/>
      <c r="K509" s="194"/>
      <c r="L509" s="194"/>
      <c r="M509" s="194"/>
      <c r="N509" s="194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 ht="15.75" customHeight="1">
      <c r="A510" s="194"/>
      <c r="B510" s="195"/>
      <c r="C510" s="194"/>
      <c r="D510" s="194"/>
      <c r="E510" s="194"/>
      <c r="F510" s="194"/>
      <c r="G510" s="194"/>
      <c r="H510" s="194"/>
      <c r="I510" s="194"/>
      <c r="J510" s="194"/>
      <c r="K510" s="194"/>
      <c r="L510" s="194"/>
      <c r="M510" s="194"/>
      <c r="N510" s="194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 ht="15.75" customHeight="1">
      <c r="A511" s="194"/>
      <c r="B511" s="195"/>
      <c r="C511" s="194"/>
      <c r="D511" s="194"/>
      <c r="E511" s="194"/>
      <c r="F511" s="194"/>
      <c r="G511" s="194"/>
      <c r="H511" s="194"/>
      <c r="I511" s="194"/>
      <c r="J511" s="194"/>
      <c r="K511" s="194"/>
      <c r="L511" s="194"/>
      <c r="M511" s="194"/>
      <c r="N511" s="194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 ht="15.75" customHeight="1">
      <c r="A512" s="194"/>
      <c r="B512" s="195"/>
      <c r="C512" s="194"/>
      <c r="D512" s="194"/>
      <c r="E512" s="194"/>
      <c r="F512" s="194"/>
      <c r="G512" s="194"/>
      <c r="H512" s="194"/>
      <c r="I512" s="194"/>
      <c r="J512" s="194"/>
      <c r="K512" s="194"/>
      <c r="L512" s="194"/>
      <c r="M512" s="194"/>
      <c r="N512" s="194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 ht="15.75" customHeight="1">
      <c r="A513" s="194"/>
      <c r="B513" s="195"/>
      <c r="C513" s="194"/>
      <c r="D513" s="194"/>
      <c r="E513" s="194"/>
      <c r="F513" s="194"/>
      <c r="G513" s="194"/>
      <c r="H513" s="194"/>
      <c r="I513" s="194"/>
      <c r="J513" s="194"/>
      <c r="K513" s="194"/>
      <c r="L513" s="194"/>
      <c r="M513" s="194"/>
      <c r="N513" s="194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 ht="15.75" customHeight="1">
      <c r="A514" s="194"/>
      <c r="B514" s="195"/>
      <c r="C514" s="194"/>
      <c r="D514" s="194"/>
      <c r="E514" s="194"/>
      <c r="F514" s="194"/>
      <c r="G514" s="194"/>
      <c r="H514" s="194"/>
      <c r="I514" s="194"/>
      <c r="J514" s="194"/>
      <c r="K514" s="194"/>
      <c r="L514" s="194"/>
      <c r="M514" s="194"/>
      <c r="N514" s="194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 ht="15.75" customHeight="1">
      <c r="A515" s="194"/>
      <c r="B515" s="195"/>
      <c r="C515" s="194"/>
      <c r="D515" s="194"/>
      <c r="E515" s="194"/>
      <c r="F515" s="194"/>
      <c r="G515" s="194"/>
      <c r="H515" s="194"/>
      <c r="I515" s="194"/>
      <c r="J515" s="194"/>
      <c r="K515" s="194"/>
      <c r="L515" s="194"/>
      <c r="M515" s="194"/>
      <c r="N515" s="194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 ht="15.75" customHeight="1">
      <c r="A516" s="194"/>
      <c r="B516" s="195"/>
      <c r="C516" s="194"/>
      <c r="D516" s="194"/>
      <c r="E516" s="194"/>
      <c r="F516" s="194"/>
      <c r="G516" s="194"/>
      <c r="H516" s="194"/>
      <c r="I516" s="194"/>
      <c r="J516" s="194"/>
      <c r="K516" s="194"/>
      <c r="L516" s="194"/>
      <c r="M516" s="194"/>
      <c r="N516" s="194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 ht="15.75" customHeight="1">
      <c r="A517" s="194"/>
      <c r="B517" s="195"/>
      <c r="C517" s="194"/>
      <c r="D517" s="194"/>
      <c r="E517" s="194"/>
      <c r="F517" s="194"/>
      <c r="G517" s="194"/>
      <c r="H517" s="194"/>
      <c r="I517" s="194"/>
      <c r="J517" s="194"/>
      <c r="K517" s="194"/>
      <c r="L517" s="194"/>
      <c r="M517" s="194"/>
      <c r="N517" s="194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 ht="15.75" customHeight="1">
      <c r="A518" s="194"/>
      <c r="B518" s="195"/>
      <c r="C518" s="194"/>
      <c r="D518" s="194"/>
      <c r="E518" s="194"/>
      <c r="F518" s="194"/>
      <c r="G518" s="194"/>
      <c r="H518" s="194"/>
      <c r="I518" s="194"/>
      <c r="J518" s="194"/>
      <c r="K518" s="194"/>
      <c r="L518" s="194"/>
      <c r="M518" s="194"/>
      <c r="N518" s="194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 ht="15.75" customHeight="1">
      <c r="A519" s="194"/>
      <c r="B519" s="195"/>
      <c r="C519" s="194"/>
      <c r="D519" s="194"/>
      <c r="E519" s="194"/>
      <c r="F519" s="194"/>
      <c r="G519" s="194"/>
      <c r="H519" s="194"/>
      <c r="I519" s="194"/>
      <c r="J519" s="194"/>
      <c r="K519" s="194"/>
      <c r="L519" s="194"/>
      <c r="M519" s="194"/>
      <c r="N519" s="194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 ht="15.75" customHeight="1">
      <c r="A520" s="194"/>
      <c r="B520" s="195"/>
      <c r="C520" s="194"/>
      <c r="D520" s="194"/>
      <c r="E520" s="194"/>
      <c r="F520" s="194"/>
      <c r="G520" s="194"/>
      <c r="H520" s="194"/>
      <c r="I520" s="194"/>
      <c r="J520" s="194"/>
      <c r="K520" s="194"/>
      <c r="L520" s="194"/>
      <c r="M520" s="194"/>
      <c r="N520" s="194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 ht="15.75" customHeight="1">
      <c r="A521" s="194"/>
      <c r="B521" s="195"/>
      <c r="C521" s="194"/>
      <c r="D521" s="194"/>
      <c r="E521" s="194"/>
      <c r="F521" s="194"/>
      <c r="G521" s="194"/>
      <c r="H521" s="194"/>
      <c r="I521" s="194"/>
      <c r="J521" s="194"/>
      <c r="K521" s="194"/>
      <c r="L521" s="194"/>
      <c r="M521" s="194"/>
      <c r="N521" s="194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 ht="15.75" customHeight="1">
      <c r="A522" s="194"/>
      <c r="B522" s="195"/>
      <c r="C522" s="194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N522" s="194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 ht="15.75" customHeight="1">
      <c r="A523" s="194"/>
      <c r="B523" s="195"/>
      <c r="C523" s="194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 ht="15.75" customHeight="1">
      <c r="A524" s="194"/>
      <c r="B524" s="195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 ht="15.75" customHeight="1">
      <c r="A525" s="194"/>
      <c r="B525" s="195"/>
      <c r="C525" s="194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 ht="15.75" customHeight="1">
      <c r="A526" s="194"/>
      <c r="B526" s="195"/>
      <c r="C526" s="194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 ht="15.75" customHeight="1">
      <c r="A527" s="194"/>
      <c r="B527" s="195"/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 ht="15.75" customHeight="1">
      <c r="A528" s="194"/>
      <c r="B528" s="195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 ht="15.75" customHeight="1">
      <c r="A529" s="194"/>
      <c r="B529" s="195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 ht="15.75" customHeight="1">
      <c r="A530" s="194"/>
      <c r="B530" s="195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 ht="15.75" customHeight="1">
      <c r="A531" s="194"/>
      <c r="B531" s="195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 ht="15.75" customHeight="1">
      <c r="A532" s="194"/>
      <c r="B532" s="195"/>
      <c r="C532" s="194"/>
      <c r="D532" s="194"/>
      <c r="E532" s="194"/>
      <c r="F532" s="194"/>
      <c r="G532" s="194"/>
      <c r="H532" s="194"/>
      <c r="I532" s="194"/>
      <c r="J532" s="194"/>
      <c r="K532" s="194"/>
      <c r="L532" s="194"/>
      <c r="M532" s="194"/>
      <c r="N532" s="194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 ht="15.75" customHeight="1">
      <c r="A533" s="194"/>
      <c r="B533" s="195"/>
      <c r="C533" s="194"/>
      <c r="D533" s="194"/>
      <c r="E533" s="194"/>
      <c r="F533" s="194"/>
      <c r="G533" s="194"/>
      <c r="H533" s="194"/>
      <c r="I533" s="194"/>
      <c r="J533" s="194"/>
      <c r="K533" s="194"/>
      <c r="L533" s="194"/>
      <c r="M533" s="194"/>
      <c r="N533" s="194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 ht="15.75" customHeight="1">
      <c r="A534" s="194"/>
      <c r="B534" s="195"/>
      <c r="C534" s="194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  <c r="N534" s="194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 ht="15.75" customHeight="1">
      <c r="A535" s="194"/>
      <c r="B535" s="195"/>
      <c r="C535" s="194"/>
      <c r="D535" s="194"/>
      <c r="E535" s="194"/>
      <c r="F535" s="194"/>
      <c r="G535" s="194"/>
      <c r="H535" s="194"/>
      <c r="I535" s="194"/>
      <c r="J535" s="194"/>
      <c r="K535" s="194"/>
      <c r="L535" s="194"/>
      <c r="M535" s="194"/>
      <c r="N535" s="194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 ht="15.75" customHeight="1">
      <c r="A536" s="194"/>
      <c r="B536" s="195"/>
      <c r="C536" s="194"/>
      <c r="D536" s="194"/>
      <c r="E536" s="194"/>
      <c r="F536" s="194"/>
      <c r="G536" s="194"/>
      <c r="H536" s="194"/>
      <c r="I536" s="194"/>
      <c r="J536" s="194"/>
      <c r="K536" s="194"/>
      <c r="L536" s="194"/>
      <c r="M536" s="194"/>
      <c r="N536" s="194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 ht="15.75" customHeight="1">
      <c r="A537" s="194"/>
      <c r="B537" s="195"/>
      <c r="C537" s="194"/>
      <c r="D537" s="194"/>
      <c r="E537" s="194"/>
      <c r="F537" s="194"/>
      <c r="G537" s="194"/>
      <c r="H537" s="194"/>
      <c r="I537" s="194"/>
      <c r="J537" s="194"/>
      <c r="K537" s="194"/>
      <c r="L537" s="194"/>
      <c r="M537" s="194"/>
      <c r="N537" s="194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 ht="15.75" customHeight="1">
      <c r="A538" s="194"/>
      <c r="B538" s="195"/>
      <c r="C538" s="194"/>
      <c r="D538" s="194"/>
      <c r="E538" s="194"/>
      <c r="F538" s="194"/>
      <c r="G538" s="194"/>
      <c r="H538" s="194"/>
      <c r="I538" s="194"/>
      <c r="J538" s="194"/>
      <c r="K538" s="194"/>
      <c r="L538" s="194"/>
      <c r="M538" s="194"/>
      <c r="N538" s="194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 ht="15.75" customHeight="1">
      <c r="A539" s="194"/>
      <c r="B539" s="195"/>
      <c r="C539" s="194"/>
      <c r="D539" s="194"/>
      <c r="E539" s="194"/>
      <c r="F539" s="194"/>
      <c r="G539" s="194"/>
      <c r="H539" s="194"/>
      <c r="I539" s="194"/>
      <c r="J539" s="194"/>
      <c r="K539" s="194"/>
      <c r="L539" s="194"/>
      <c r="M539" s="194"/>
      <c r="N539" s="194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 ht="15.75" customHeight="1">
      <c r="A540" s="194"/>
      <c r="B540" s="195"/>
      <c r="C540" s="194"/>
      <c r="D540" s="194"/>
      <c r="E540" s="194"/>
      <c r="F540" s="194"/>
      <c r="G540" s="194"/>
      <c r="H540" s="194"/>
      <c r="I540" s="194"/>
      <c r="J540" s="194"/>
      <c r="K540" s="194"/>
      <c r="L540" s="194"/>
      <c r="M540" s="194"/>
      <c r="N540" s="194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 ht="15.75" customHeight="1">
      <c r="A541" s="194"/>
      <c r="B541" s="195"/>
      <c r="C541" s="194"/>
      <c r="D541" s="194"/>
      <c r="E541" s="194"/>
      <c r="F541" s="194"/>
      <c r="G541" s="194"/>
      <c r="H541" s="194"/>
      <c r="I541" s="194"/>
      <c r="J541" s="194"/>
      <c r="K541" s="194"/>
      <c r="L541" s="194"/>
      <c r="M541" s="194"/>
      <c r="N541" s="194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 ht="15.75" customHeight="1">
      <c r="A542" s="194"/>
      <c r="B542" s="195"/>
      <c r="C542" s="194"/>
      <c r="D542" s="194"/>
      <c r="E542" s="194"/>
      <c r="F542" s="194"/>
      <c r="G542" s="194"/>
      <c r="H542" s="194"/>
      <c r="I542" s="194"/>
      <c r="J542" s="194"/>
      <c r="K542" s="194"/>
      <c r="L542" s="194"/>
      <c r="M542" s="194"/>
      <c r="N542" s="194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 ht="15.75" customHeight="1">
      <c r="A543" s="194"/>
      <c r="B543" s="195"/>
      <c r="C543" s="194"/>
      <c r="D543" s="194"/>
      <c r="E543" s="194"/>
      <c r="F543" s="194"/>
      <c r="G543" s="194"/>
      <c r="H543" s="194"/>
      <c r="I543" s="194"/>
      <c r="J543" s="194"/>
      <c r="K543" s="194"/>
      <c r="L543" s="194"/>
      <c r="M543" s="194"/>
      <c r="N543" s="194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</row>
    <row r="544" ht="15.75" customHeight="1">
      <c r="A544" s="194"/>
      <c r="B544" s="195"/>
      <c r="C544" s="194"/>
      <c r="D544" s="194"/>
      <c r="E544" s="194"/>
      <c r="F544" s="194"/>
      <c r="G544" s="194"/>
      <c r="H544" s="194"/>
      <c r="I544" s="194"/>
      <c r="J544" s="194"/>
      <c r="K544" s="194"/>
      <c r="L544" s="194"/>
      <c r="M544" s="194"/>
      <c r="N544" s="194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</row>
    <row r="545" ht="15.75" customHeight="1">
      <c r="A545" s="194"/>
      <c r="B545" s="195"/>
      <c r="C545" s="194"/>
      <c r="D545" s="194"/>
      <c r="E545" s="194"/>
      <c r="F545" s="194"/>
      <c r="G545" s="194"/>
      <c r="H545" s="194"/>
      <c r="I545" s="194"/>
      <c r="J545" s="194"/>
      <c r="K545" s="194"/>
      <c r="L545" s="194"/>
      <c r="M545" s="194"/>
      <c r="N545" s="194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</row>
    <row r="546" ht="15.75" customHeight="1">
      <c r="A546" s="194"/>
      <c r="B546" s="195"/>
      <c r="C546" s="194"/>
      <c r="D546" s="194"/>
      <c r="E546" s="194"/>
      <c r="F546" s="194"/>
      <c r="G546" s="194"/>
      <c r="H546" s="194"/>
      <c r="I546" s="194"/>
      <c r="J546" s="194"/>
      <c r="K546" s="194"/>
      <c r="L546" s="194"/>
      <c r="M546" s="194"/>
      <c r="N546" s="194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</row>
    <row r="547" ht="15.75" customHeight="1">
      <c r="A547" s="194"/>
      <c r="B547" s="195"/>
      <c r="C547" s="194"/>
      <c r="D547" s="194"/>
      <c r="E547" s="194"/>
      <c r="F547" s="194"/>
      <c r="G547" s="194"/>
      <c r="H547" s="194"/>
      <c r="I547" s="194"/>
      <c r="J547" s="194"/>
      <c r="K547" s="194"/>
      <c r="L547" s="194"/>
      <c r="M547" s="194"/>
      <c r="N547" s="194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</row>
    <row r="548" ht="15.75" customHeight="1">
      <c r="A548" s="194"/>
      <c r="B548" s="195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4"/>
      <c r="N548" s="194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</row>
    <row r="549" ht="15.75" customHeight="1">
      <c r="A549" s="194"/>
      <c r="B549" s="195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</row>
    <row r="550" ht="15.75" customHeight="1">
      <c r="A550" s="194"/>
      <c r="B550" s="195"/>
      <c r="C550" s="194"/>
      <c r="D550" s="194"/>
      <c r="E550" s="194"/>
      <c r="F550" s="194"/>
      <c r="G550" s="194"/>
      <c r="H550" s="194"/>
      <c r="I550" s="194"/>
      <c r="J550" s="194"/>
      <c r="K550" s="194"/>
      <c r="L550" s="194"/>
      <c r="M550" s="194"/>
      <c r="N550" s="194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</row>
    <row r="551" ht="15.75" customHeight="1">
      <c r="A551" s="194"/>
      <c r="B551" s="195"/>
      <c r="C551" s="194"/>
      <c r="D551" s="194"/>
      <c r="E551" s="194"/>
      <c r="F551" s="194"/>
      <c r="G551" s="194"/>
      <c r="H551" s="194"/>
      <c r="I551" s="194"/>
      <c r="J551" s="194"/>
      <c r="K551" s="194"/>
      <c r="L551" s="194"/>
      <c r="M551" s="194"/>
      <c r="N551" s="194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</row>
    <row r="552" ht="15.75" customHeight="1">
      <c r="A552" s="194"/>
      <c r="B552" s="195"/>
      <c r="C552" s="194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</row>
    <row r="553" ht="15.75" customHeight="1">
      <c r="A553" s="194"/>
      <c r="B553" s="195"/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</row>
    <row r="554" ht="15.75" customHeight="1">
      <c r="A554" s="194"/>
      <c r="B554" s="195"/>
      <c r="C554" s="194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</row>
    <row r="555" ht="15.75" customHeight="1">
      <c r="A555" s="194"/>
      <c r="B555" s="195"/>
      <c r="C555" s="194"/>
      <c r="D555" s="194"/>
      <c r="E555" s="194"/>
      <c r="F555" s="194"/>
      <c r="G555" s="194"/>
      <c r="H555" s="194"/>
      <c r="I555" s="194"/>
      <c r="J555" s="194"/>
      <c r="K555" s="194"/>
      <c r="L555" s="194"/>
      <c r="M555" s="194"/>
      <c r="N555" s="194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</row>
    <row r="556" ht="15.75" customHeight="1">
      <c r="A556" s="194"/>
      <c r="B556" s="195"/>
      <c r="C556" s="194"/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</row>
    <row r="557" ht="15.75" customHeight="1">
      <c r="A557" s="194"/>
      <c r="B557" s="195"/>
      <c r="C557" s="194"/>
      <c r="D557" s="194"/>
      <c r="E557" s="194"/>
      <c r="F557" s="194"/>
      <c r="G557" s="194"/>
      <c r="H557" s="194"/>
      <c r="I557" s="194"/>
      <c r="J557" s="194"/>
      <c r="K557" s="194"/>
      <c r="L557" s="194"/>
      <c r="M557" s="194"/>
      <c r="N557" s="194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</row>
    <row r="558" ht="15.75" customHeight="1">
      <c r="A558" s="194"/>
      <c r="B558" s="195"/>
      <c r="C558" s="194"/>
      <c r="D558" s="194"/>
      <c r="E558" s="194"/>
      <c r="F558" s="194"/>
      <c r="G558" s="194"/>
      <c r="H558" s="194"/>
      <c r="I558" s="194"/>
      <c r="J558" s="194"/>
      <c r="K558" s="194"/>
      <c r="L558" s="194"/>
      <c r="M558" s="194"/>
      <c r="N558" s="194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</row>
    <row r="559" ht="15.75" customHeight="1">
      <c r="A559" s="194"/>
      <c r="B559" s="195"/>
      <c r="C559" s="194"/>
      <c r="D559" s="194"/>
      <c r="E559" s="194"/>
      <c r="F559" s="194"/>
      <c r="G559" s="194"/>
      <c r="H559" s="194"/>
      <c r="I559" s="194"/>
      <c r="J559" s="194"/>
      <c r="K559" s="194"/>
      <c r="L559" s="194"/>
      <c r="M559" s="194"/>
      <c r="N559" s="194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</row>
    <row r="560" ht="15.75" customHeight="1">
      <c r="A560" s="194"/>
      <c r="B560" s="195"/>
      <c r="C560" s="194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</row>
    <row r="561" ht="15.75" customHeight="1">
      <c r="A561" s="194"/>
      <c r="B561" s="195"/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</row>
    <row r="562" ht="15.75" customHeight="1">
      <c r="A562" s="194"/>
      <c r="B562" s="195"/>
      <c r="C562" s="194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</row>
    <row r="563" ht="15.75" customHeight="1">
      <c r="A563" s="194"/>
      <c r="B563" s="195"/>
      <c r="C563" s="194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</row>
    <row r="564" ht="15.75" customHeight="1">
      <c r="A564" s="194"/>
      <c r="B564" s="195"/>
      <c r="C564" s="194"/>
      <c r="D564" s="194"/>
      <c r="E564" s="194"/>
      <c r="F564" s="194"/>
      <c r="G564" s="194"/>
      <c r="H564" s="194"/>
      <c r="I564" s="194"/>
      <c r="J564" s="194"/>
      <c r="K564" s="194"/>
      <c r="L564" s="194"/>
      <c r="M564" s="194"/>
      <c r="N564" s="194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</row>
    <row r="565" ht="15.75" customHeight="1">
      <c r="A565" s="194"/>
      <c r="B565" s="195"/>
      <c r="C565" s="194"/>
      <c r="D565" s="194"/>
      <c r="E565" s="194"/>
      <c r="F565" s="194"/>
      <c r="G565" s="194"/>
      <c r="H565" s="194"/>
      <c r="I565" s="194"/>
      <c r="J565" s="194"/>
      <c r="K565" s="194"/>
      <c r="L565" s="194"/>
      <c r="M565" s="194"/>
      <c r="N565" s="194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</row>
    <row r="566" ht="15.75" customHeight="1">
      <c r="A566" s="194"/>
      <c r="B566" s="195"/>
      <c r="C566" s="194"/>
      <c r="D566" s="194"/>
      <c r="E566" s="194"/>
      <c r="F566" s="194"/>
      <c r="G566" s="194"/>
      <c r="H566" s="194"/>
      <c r="I566" s="194"/>
      <c r="J566" s="194"/>
      <c r="K566" s="194"/>
      <c r="L566" s="194"/>
      <c r="M566" s="194"/>
      <c r="N566" s="194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</row>
    <row r="567" ht="15.75" customHeight="1">
      <c r="A567" s="194"/>
      <c r="B567" s="195"/>
      <c r="C567" s="194"/>
      <c r="D567" s="194"/>
      <c r="E567" s="194"/>
      <c r="F567" s="194"/>
      <c r="G567" s="194"/>
      <c r="H567" s="194"/>
      <c r="I567" s="194"/>
      <c r="J567" s="194"/>
      <c r="K567" s="194"/>
      <c r="L567" s="194"/>
      <c r="M567" s="194"/>
      <c r="N567" s="194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</row>
    <row r="568" ht="15.75" customHeight="1">
      <c r="A568" s="194"/>
      <c r="B568" s="195"/>
      <c r="C568" s="194"/>
      <c r="D568" s="194"/>
      <c r="E568" s="194"/>
      <c r="F568" s="194"/>
      <c r="G568" s="194"/>
      <c r="H568" s="194"/>
      <c r="I568" s="194"/>
      <c r="J568" s="194"/>
      <c r="K568" s="194"/>
      <c r="L568" s="194"/>
      <c r="M568" s="194"/>
      <c r="N568" s="194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</row>
    <row r="569" ht="15.75" customHeight="1">
      <c r="A569" s="194"/>
      <c r="B569" s="195"/>
      <c r="C569" s="194"/>
      <c r="D569" s="194"/>
      <c r="E569" s="194"/>
      <c r="F569" s="194"/>
      <c r="G569" s="194"/>
      <c r="H569" s="194"/>
      <c r="I569" s="194"/>
      <c r="J569" s="194"/>
      <c r="K569" s="194"/>
      <c r="L569" s="194"/>
      <c r="M569" s="194"/>
      <c r="N569" s="194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</row>
    <row r="570" ht="15.75" customHeight="1">
      <c r="A570" s="194"/>
      <c r="B570" s="195"/>
      <c r="C570" s="194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</row>
    <row r="571" ht="15.75" customHeight="1">
      <c r="A571" s="194"/>
      <c r="B571" s="195"/>
      <c r="C571" s="194"/>
      <c r="D571" s="194"/>
      <c r="E571" s="194"/>
      <c r="F571" s="194"/>
      <c r="G571" s="194"/>
      <c r="H571" s="194"/>
      <c r="I571" s="194"/>
      <c r="J571" s="194"/>
      <c r="K571" s="194"/>
      <c r="L571" s="194"/>
      <c r="M571" s="194"/>
      <c r="N571" s="194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</row>
    <row r="572" ht="15.75" customHeight="1">
      <c r="A572" s="194"/>
      <c r="B572" s="195"/>
      <c r="C572" s="194"/>
      <c r="D572" s="194"/>
      <c r="E572" s="194"/>
      <c r="F572" s="194"/>
      <c r="G572" s="194"/>
      <c r="H572" s="194"/>
      <c r="I572" s="194"/>
      <c r="J572" s="194"/>
      <c r="K572" s="194"/>
      <c r="L572" s="194"/>
      <c r="M572" s="194"/>
      <c r="N572" s="194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</row>
    <row r="573" ht="15.75" customHeight="1">
      <c r="A573" s="194"/>
      <c r="B573" s="195"/>
      <c r="C573" s="194"/>
      <c r="D573" s="194"/>
      <c r="E573" s="194"/>
      <c r="F573" s="194"/>
      <c r="G573" s="194"/>
      <c r="H573" s="194"/>
      <c r="I573" s="194"/>
      <c r="J573" s="194"/>
      <c r="K573" s="194"/>
      <c r="L573" s="194"/>
      <c r="M573" s="194"/>
      <c r="N573" s="194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</row>
    <row r="574" ht="15.75" customHeight="1">
      <c r="A574" s="194"/>
      <c r="B574" s="195"/>
      <c r="C574" s="194"/>
      <c r="D574" s="194"/>
      <c r="E574" s="194"/>
      <c r="F574" s="194"/>
      <c r="G574" s="194"/>
      <c r="H574" s="194"/>
      <c r="I574" s="194"/>
      <c r="J574" s="194"/>
      <c r="K574" s="194"/>
      <c r="L574" s="194"/>
      <c r="M574" s="194"/>
      <c r="N574" s="194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</row>
    <row r="575" ht="15.75" customHeight="1">
      <c r="A575" s="194"/>
      <c r="B575" s="195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</row>
    <row r="576" ht="15.75" customHeight="1">
      <c r="A576" s="194"/>
      <c r="B576" s="195"/>
      <c r="C576" s="194"/>
      <c r="D576" s="194"/>
      <c r="E576" s="194"/>
      <c r="F576" s="194"/>
      <c r="G576" s="194"/>
      <c r="H576" s="194"/>
      <c r="I576" s="194"/>
      <c r="J576" s="194"/>
      <c r="K576" s="194"/>
      <c r="L576" s="194"/>
      <c r="M576" s="194"/>
      <c r="N576" s="194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</row>
    <row r="577" ht="15.75" customHeight="1">
      <c r="A577" s="194"/>
      <c r="B577" s="195"/>
      <c r="C577" s="194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</row>
    <row r="578" ht="15.75" customHeight="1">
      <c r="A578" s="194"/>
      <c r="B578" s="195"/>
      <c r="C578" s="194"/>
      <c r="D578" s="194"/>
      <c r="E578" s="194"/>
      <c r="F578" s="194"/>
      <c r="G578" s="194"/>
      <c r="H578" s="194"/>
      <c r="I578" s="194"/>
      <c r="J578" s="194"/>
      <c r="K578" s="194"/>
      <c r="L578" s="194"/>
      <c r="M578" s="194"/>
      <c r="N578" s="194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</row>
    <row r="579" ht="15.75" customHeight="1">
      <c r="A579" s="194"/>
      <c r="B579" s="195"/>
      <c r="C579" s="194"/>
      <c r="D579" s="194"/>
      <c r="E579" s="194"/>
      <c r="F579" s="194"/>
      <c r="G579" s="194"/>
      <c r="H579" s="194"/>
      <c r="I579" s="194"/>
      <c r="J579" s="194"/>
      <c r="K579" s="194"/>
      <c r="L579" s="194"/>
      <c r="M579" s="194"/>
      <c r="N579" s="194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</row>
    <row r="580" ht="15.75" customHeight="1">
      <c r="A580" s="194"/>
      <c r="B580" s="195"/>
      <c r="C580" s="194"/>
      <c r="D580" s="194"/>
      <c r="E580" s="194"/>
      <c r="F580" s="194"/>
      <c r="G580" s="194"/>
      <c r="H580" s="194"/>
      <c r="I580" s="194"/>
      <c r="J580" s="194"/>
      <c r="K580" s="194"/>
      <c r="L580" s="194"/>
      <c r="M580" s="194"/>
      <c r="N580" s="194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</row>
    <row r="581" ht="15.75" customHeight="1">
      <c r="A581" s="194"/>
      <c r="B581" s="195"/>
      <c r="C581" s="194"/>
      <c r="D581" s="194"/>
      <c r="E581" s="194"/>
      <c r="F581" s="194"/>
      <c r="G581" s="194"/>
      <c r="H581" s="194"/>
      <c r="I581" s="194"/>
      <c r="J581" s="194"/>
      <c r="K581" s="194"/>
      <c r="L581" s="194"/>
      <c r="M581" s="194"/>
      <c r="N581" s="194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</row>
    <row r="582" ht="15.75" customHeight="1">
      <c r="A582" s="194"/>
      <c r="B582" s="195"/>
      <c r="C582" s="194"/>
      <c r="D582" s="194"/>
      <c r="E582" s="194"/>
      <c r="F582" s="194"/>
      <c r="G582" s="194"/>
      <c r="H582" s="194"/>
      <c r="I582" s="194"/>
      <c r="J582" s="194"/>
      <c r="K582" s="194"/>
      <c r="L582" s="194"/>
      <c r="M582" s="194"/>
      <c r="N582" s="194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</row>
    <row r="583" ht="15.75" customHeight="1">
      <c r="A583" s="194"/>
      <c r="B583" s="195"/>
      <c r="C583" s="194"/>
      <c r="D583" s="194"/>
      <c r="E583" s="194"/>
      <c r="F583" s="194"/>
      <c r="G583" s="194"/>
      <c r="H583" s="194"/>
      <c r="I583" s="194"/>
      <c r="J583" s="194"/>
      <c r="K583" s="194"/>
      <c r="L583" s="194"/>
      <c r="M583" s="194"/>
      <c r="N583" s="194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</row>
    <row r="584" ht="15.75" customHeight="1">
      <c r="A584" s="194"/>
      <c r="B584" s="195"/>
      <c r="C584" s="194"/>
      <c r="D584" s="194"/>
      <c r="E584" s="194"/>
      <c r="F584" s="194"/>
      <c r="G584" s="194"/>
      <c r="H584" s="194"/>
      <c r="I584" s="194"/>
      <c r="J584" s="194"/>
      <c r="K584" s="194"/>
      <c r="L584" s="194"/>
      <c r="M584" s="194"/>
      <c r="N584" s="194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</row>
    <row r="585" ht="15.75" customHeight="1">
      <c r="A585" s="194"/>
      <c r="B585" s="195"/>
      <c r="C585" s="194"/>
      <c r="D585" s="194"/>
      <c r="E585" s="194"/>
      <c r="F585" s="194"/>
      <c r="G585" s="194"/>
      <c r="H585" s="194"/>
      <c r="I585" s="194"/>
      <c r="J585" s="194"/>
      <c r="K585" s="194"/>
      <c r="L585" s="194"/>
      <c r="M585" s="194"/>
      <c r="N585" s="194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</row>
    <row r="586" ht="15.75" customHeight="1">
      <c r="A586" s="194"/>
      <c r="B586" s="195"/>
      <c r="C586" s="194"/>
      <c r="D586" s="194"/>
      <c r="E586" s="194"/>
      <c r="F586" s="194"/>
      <c r="G586" s="194"/>
      <c r="H586" s="194"/>
      <c r="I586" s="194"/>
      <c r="J586" s="194"/>
      <c r="K586" s="194"/>
      <c r="L586" s="194"/>
      <c r="M586" s="194"/>
      <c r="N586" s="194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</row>
    <row r="587" ht="15.75" customHeight="1">
      <c r="A587" s="194"/>
      <c r="B587" s="195"/>
      <c r="C587" s="194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</row>
    <row r="588" ht="15.75" customHeight="1">
      <c r="A588" s="194"/>
      <c r="B588" s="195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</row>
    <row r="589" ht="15.75" customHeight="1">
      <c r="A589" s="194"/>
      <c r="B589" s="195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</row>
    <row r="590" ht="15.75" customHeight="1">
      <c r="A590" s="194"/>
      <c r="B590" s="195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</row>
    <row r="591" ht="15.75" customHeight="1">
      <c r="A591" s="194"/>
      <c r="B591" s="195"/>
      <c r="C591" s="194"/>
      <c r="D591" s="194"/>
      <c r="E591" s="194"/>
      <c r="F591" s="194"/>
      <c r="G591" s="194"/>
      <c r="H591" s="194"/>
      <c r="I591" s="194"/>
      <c r="J591" s="194"/>
      <c r="K591" s="194"/>
      <c r="L591" s="194"/>
      <c r="M591" s="194"/>
      <c r="N591" s="194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</row>
    <row r="592" ht="15.75" customHeight="1">
      <c r="A592" s="194"/>
      <c r="B592" s="195"/>
      <c r="C592" s="194"/>
      <c r="D592" s="194"/>
      <c r="E592" s="194"/>
      <c r="F592" s="194"/>
      <c r="G592" s="194"/>
      <c r="H592" s="194"/>
      <c r="I592" s="194"/>
      <c r="J592" s="194"/>
      <c r="K592" s="194"/>
      <c r="L592" s="194"/>
      <c r="M592" s="194"/>
      <c r="N592" s="194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</row>
    <row r="593" ht="15.75" customHeight="1">
      <c r="A593" s="194"/>
      <c r="B593" s="195"/>
      <c r="C593" s="194"/>
      <c r="D593" s="194"/>
      <c r="E593" s="194"/>
      <c r="F593" s="194"/>
      <c r="G593" s="194"/>
      <c r="H593" s="194"/>
      <c r="I593" s="194"/>
      <c r="J593" s="194"/>
      <c r="K593" s="194"/>
      <c r="L593" s="194"/>
      <c r="M593" s="194"/>
      <c r="N593" s="194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</row>
    <row r="594" ht="15.75" customHeight="1">
      <c r="A594" s="194"/>
      <c r="B594" s="195"/>
      <c r="C594" s="194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</row>
    <row r="595" ht="15.75" customHeight="1">
      <c r="A595" s="194"/>
      <c r="B595" s="195"/>
      <c r="C595" s="194"/>
      <c r="D595" s="194"/>
      <c r="E595" s="194"/>
      <c r="F595" s="194"/>
      <c r="G595" s="194"/>
      <c r="H595" s="194"/>
      <c r="I595" s="194"/>
      <c r="J595" s="194"/>
      <c r="K595" s="194"/>
      <c r="L595" s="194"/>
      <c r="M595" s="194"/>
      <c r="N595" s="194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</row>
    <row r="596" ht="15.75" customHeight="1">
      <c r="A596" s="194"/>
      <c r="B596" s="195"/>
      <c r="C596" s="194"/>
      <c r="D596" s="194"/>
      <c r="E596" s="194"/>
      <c r="F596" s="194"/>
      <c r="G596" s="194"/>
      <c r="H596" s="194"/>
      <c r="I596" s="194"/>
      <c r="J596" s="194"/>
      <c r="K596" s="194"/>
      <c r="L596" s="194"/>
      <c r="M596" s="194"/>
      <c r="N596" s="194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</row>
    <row r="597" ht="15.75" customHeight="1">
      <c r="A597" s="194"/>
      <c r="B597" s="195"/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</row>
    <row r="598" ht="15.75" customHeight="1">
      <c r="A598" s="194"/>
      <c r="B598" s="195"/>
      <c r="C598" s="194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</row>
    <row r="599" ht="15.75" customHeight="1">
      <c r="A599" s="194"/>
      <c r="B599" s="195"/>
      <c r="C599" s="194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</row>
    <row r="600" ht="15.75" customHeight="1">
      <c r="A600" s="194"/>
      <c r="B600" s="195"/>
      <c r="C600" s="194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</row>
    <row r="601" ht="15.75" customHeight="1">
      <c r="A601" s="194"/>
      <c r="B601" s="195"/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</row>
    <row r="602" ht="15.75" customHeight="1">
      <c r="A602" s="194"/>
      <c r="B602" s="195"/>
      <c r="C602" s="194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</row>
    <row r="603" ht="15.75" customHeight="1">
      <c r="A603" s="194"/>
      <c r="B603" s="195"/>
      <c r="C603" s="194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</row>
    <row r="604" ht="15.75" customHeight="1">
      <c r="A604" s="194"/>
      <c r="B604" s="195"/>
      <c r="C604" s="194"/>
      <c r="D604" s="194"/>
      <c r="E604" s="194"/>
      <c r="F604" s="194"/>
      <c r="G604" s="194"/>
      <c r="H604" s="194"/>
      <c r="I604" s="194"/>
      <c r="J604" s="194"/>
      <c r="K604" s="194"/>
      <c r="L604" s="194"/>
      <c r="M604" s="194"/>
      <c r="N604" s="194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</row>
    <row r="605" ht="15.75" customHeight="1">
      <c r="A605" s="194"/>
      <c r="B605" s="195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</row>
    <row r="606" ht="15.75" customHeight="1">
      <c r="A606" s="194"/>
      <c r="B606" s="195"/>
      <c r="C606" s="194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</row>
    <row r="607" ht="15.75" customHeight="1">
      <c r="A607" s="194"/>
      <c r="B607" s="195"/>
      <c r="C607" s="194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</row>
    <row r="608" ht="15.75" customHeight="1">
      <c r="A608" s="194"/>
      <c r="B608" s="195"/>
      <c r="C608" s="194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</row>
    <row r="609" ht="15.75" customHeight="1">
      <c r="A609" s="194"/>
      <c r="B609" s="195"/>
      <c r="C609" s="194"/>
      <c r="D609" s="194"/>
      <c r="E609" s="194"/>
      <c r="F609" s="194"/>
      <c r="G609" s="194"/>
      <c r="H609" s="194"/>
      <c r="I609" s="194"/>
      <c r="J609" s="194"/>
      <c r="K609" s="194"/>
      <c r="L609" s="194"/>
      <c r="M609" s="194"/>
      <c r="N609" s="194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</row>
    <row r="610" ht="15.75" customHeight="1">
      <c r="A610" s="194"/>
      <c r="B610" s="195"/>
      <c r="C610" s="194"/>
      <c r="D610" s="194"/>
      <c r="E610" s="194"/>
      <c r="F610" s="194"/>
      <c r="G610" s="194"/>
      <c r="H610" s="194"/>
      <c r="I610" s="194"/>
      <c r="J610" s="194"/>
      <c r="K610" s="194"/>
      <c r="L610" s="194"/>
      <c r="M610" s="194"/>
      <c r="N610" s="194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</row>
    <row r="611" ht="15.75" customHeight="1">
      <c r="A611" s="194"/>
      <c r="B611" s="195"/>
      <c r="C611" s="194"/>
      <c r="D611" s="194"/>
      <c r="E611" s="194"/>
      <c r="F611" s="194"/>
      <c r="G611" s="194"/>
      <c r="H611" s="194"/>
      <c r="I611" s="194"/>
      <c r="J611" s="194"/>
      <c r="K611" s="194"/>
      <c r="L611" s="194"/>
      <c r="M611" s="194"/>
      <c r="N611" s="194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</row>
    <row r="612" ht="15.75" customHeight="1">
      <c r="A612" s="194"/>
      <c r="B612" s="195"/>
      <c r="C612" s="194"/>
      <c r="D612" s="194"/>
      <c r="E612" s="194"/>
      <c r="F612" s="194"/>
      <c r="G612" s="194"/>
      <c r="H612" s="194"/>
      <c r="I612" s="194"/>
      <c r="J612" s="194"/>
      <c r="K612" s="194"/>
      <c r="L612" s="194"/>
      <c r="M612" s="194"/>
      <c r="N612" s="194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</row>
    <row r="613" ht="15.75" customHeight="1">
      <c r="A613" s="194"/>
      <c r="B613" s="195"/>
      <c r="C613" s="194"/>
      <c r="D613" s="194"/>
      <c r="E613" s="194"/>
      <c r="F613" s="194"/>
      <c r="G613" s="194"/>
      <c r="H613" s="194"/>
      <c r="I613" s="194"/>
      <c r="J613" s="194"/>
      <c r="K613" s="194"/>
      <c r="L613" s="194"/>
      <c r="M613" s="194"/>
      <c r="N613" s="194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</row>
    <row r="614" ht="15.75" customHeight="1">
      <c r="A614" s="194"/>
      <c r="B614" s="195"/>
      <c r="C614" s="194"/>
      <c r="D614" s="194"/>
      <c r="E614" s="194"/>
      <c r="F614" s="194"/>
      <c r="G614" s="194"/>
      <c r="H614" s="194"/>
      <c r="I614" s="194"/>
      <c r="J614" s="194"/>
      <c r="K614" s="194"/>
      <c r="L614" s="194"/>
      <c r="M614" s="194"/>
      <c r="N614" s="194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</row>
    <row r="615" ht="15.75" customHeight="1">
      <c r="A615" s="194"/>
      <c r="B615" s="195"/>
      <c r="C615" s="194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</row>
    <row r="616" ht="15.75" customHeight="1">
      <c r="A616" s="194"/>
      <c r="B616" s="195"/>
      <c r="C616" s="194"/>
      <c r="D616" s="194"/>
      <c r="E616" s="194"/>
      <c r="F616" s="194"/>
      <c r="G616" s="194"/>
      <c r="H616" s="194"/>
      <c r="I616" s="194"/>
      <c r="J616" s="194"/>
      <c r="K616" s="194"/>
      <c r="L616" s="194"/>
      <c r="M616" s="194"/>
      <c r="N616" s="194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</row>
    <row r="617" ht="15.75" customHeight="1">
      <c r="A617" s="194"/>
      <c r="B617" s="195"/>
      <c r="C617" s="194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</row>
    <row r="618" ht="15.75" customHeight="1">
      <c r="A618" s="194"/>
      <c r="B618" s="195"/>
      <c r="C618" s="194"/>
      <c r="D618" s="194"/>
      <c r="E618" s="194"/>
      <c r="F618" s="194"/>
      <c r="G618" s="194"/>
      <c r="H618" s="194"/>
      <c r="I618" s="194"/>
      <c r="J618" s="194"/>
      <c r="K618" s="194"/>
      <c r="L618" s="194"/>
      <c r="M618" s="194"/>
      <c r="N618" s="194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</row>
    <row r="619" ht="15.75" customHeight="1">
      <c r="A619" s="194"/>
      <c r="B619" s="195"/>
      <c r="C619" s="194"/>
      <c r="D619" s="194"/>
      <c r="E619" s="194"/>
      <c r="F619" s="194"/>
      <c r="G619" s="194"/>
      <c r="H619" s="194"/>
      <c r="I619" s="194"/>
      <c r="J619" s="194"/>
      <c r="K619" s="194"/>
      <c r="L619" s="194"/>
      <c r="M619" s="194"/>
      <c r="N619" s="194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</row>
    <row r="620" ht="15.75" customHeight="1">
      <c r="A620" s="194"/>
      <c r="B620" s="195"/>
      <c r="C620" s="194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</row>
    <row r="621" ht="15.75" customHeight="1">
      <c r="A621" s="194"/>
      <c r="B621" s="195"/>
      <c r="C621" s="194"/>
      <c r="D621" s="194"/>
      <c r="E621" s="194"/>
      <c r="F621" s="194"/>
      <c r="G621" s="194"/>
      <c r="H621" s="194"/>
      <c r="I621" s="194"/>
      <c r="J621" s="194"/>
      <c r="K621" s="194"/>
      <c r="L621" s="194"/>
      <c r="M621" s="194"/>
      <c r="N621" s="194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</row>
    <row r="622" ht="15.75" customHeight="1">
      <c r="A622" s="194"/>
      <c r="B622" s="195"/>
      <c r="C622" s="194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</row>
    <row r="623" ht="15.75" customHeight="1">
      <c r="A623" s="194"/>
      <c r="B623" s="195"/>
      <c r="C623" s="194"/>
      <c r="D623" s="194"/>
      <c r="E623" s="194"/>
      <c r="F623" s="194"/>
      <c r="G623" s="194"/>
      <c r="H623" s="194"/>
      <c r="I623" s="194"/>
      <c r="J623" s="194"/>
      <c r="K623" s="194"/>
      <c r="L623" s="194"/>
      <c r="M623" s="194"/>
      <c r="N623" s="194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</row>
    <row r="624" ht="15.75" customHeight="1">
      <c r="A624" s="194"/>
      <c r="B624" s="195"/>
      <c r="C624" s="194"/>
      <c r="D624" s="194"/>
      <c r="E624" s="194"/>
      <c r="F624" s="194"/>
      <c r="G624" s="194"/>
      <c r="H624" s="194"/>
      <c r="I624" s="194"/>
      <c r="J624" s="194"/>
      <c r="K624" s="194"/>
      <c r="L624" s="194"/>
      <c r="M624" s="194"/>
      <c r="N624" s="194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</row>
    <row r="625" ht="15.75" customHeight="1">
      <c r="A625" s="194"/>
      <c r="B625" s="195"/>
      <c r="C625" s="194"/>
      <c r="D625" s="194"/>
      <c r="E625" s="194"/>
      <c r="F625" s="194"/>
      <c r="G625" s="194"/>
      <c r="H625" s="194"/>
      <c r="I625" s="194"/>
      <c r="J625" s="194"/>
      <c r="K625" s="194"/>
      <c r="L625" s="194"/>
      <c r="M625" s="194"/>
      <c r="N625" s="194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</row>
    <row r="626" ht="15.75" customHeight="1">
      <c r="A626" s="194"/>
      <c r="B626" s="195"/>
      <c r="C626" s="194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</row>
    <row r="627" ht="15.75" customHeight="1">
      <c r="A627" s="194"/>
      <c r="B627" s="195"/>
      <c r="C627" s="194"/>
      <c r="D627" s="194"/>
      <c r="E627" s="194"/>
      <c r="F627" s="194"/>
      <c r="G627" s="194"/>
      <c r="H627" s="194"/>
      <c r="I627" s="194"/>
      <c r="J627" s="194"/>
      <c r="K627" s="194"/>
      <c r="L627" s="194"/>
      <c r="M627" s="194"/>
      <c r="N627" s="194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</row>
    <row r="628" ht="15.75" customHeight="1">
      <c r="A628" s="194"/>
      <c r="B628" s="195"/>
      <c r="C628" s="194"/>
      <c r="D628" s="194"/>
      <c r="E628" s="194"/>
      <c r="F628" s="194"/>
      <c r="G628" s="194"/>
      <c r="H628" s="194"/>
      <c r="I628" s="194"/>
      <c r="J628" s="194"/>
      <c r="K628" s="194"/>
      <c r="L628" s="194"/>
      <c r="M628" s="194"/>
      <c r="N628" s="194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</row>
    <row r="629" ht="15.75" customHeight="1">
      <c r="A629" s="194"/>
      <c r="B629" s="195"/>
      <c r="C629" s="194"/>
      <c r="D629" s="194"/>
      <c r="E629" s="194"/>
      <c r="F629" s="194"/>
      <c r="G629" s="194"/>
      <c r="H629" s="194"/>
      <c r="I629" s="194"/>
      <c r="J629" s="194"/>
      <c r="K629" s="194"/>
      <c r="L629" s="194"/>
      <c r="M629" s="194"/>
      <c r="N629" s="194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</row>
    <row r="630" ht="15.75" customHeight="1">
      <c r="A630" s="194"/>
      <c r="B630" s="195"/>
      <c r="C630" s="194"/>
      <c r="D630" s="194"/>
      <c r="E630" s="194"/>
      <c r="F630" s="194"/>
      <c r="G630" s="194"/>
      <c r="H630" s="194"/>
      <c r="I630" s="194"/>
      <c r="J630" s="194"/>
      <c r="K630" s="194"/>
      <c r="L630" s="194"/>
      <c r="M630" s="194"/>
      <c r="N630" s="194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</row>
    <row r="631" ht="15.75" customHeight="1">
      <c r="A631" s="194"/>
      <c r="B631" s="195"/>
      <c r="C631" s="194"/>
      <c r="D631" s="194"/>
      <c r="E631" s="194"/>
      <c r="F631" s="194"/>
      <c r="G631" s="194"/>
      <c r="H631" s="194"/>
      <c r="I631" s="194"/>
      <c r="J631" s="194"/>
      <c r="K631" s="194"/>
      <c r="L631" s="194"/>
      <c r="M631" s="194"/>
      <c r="N631" s="194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</row>
    <row r="632" ht="15.75" customHeight="1">
      <c r="A632" s="194"/>
      <c r="B632" s="195"/>
      <c r="C632" s="194"/>
      <c r="D632" s="194"/>
      <c r="E632" s="194"/>
      <c r="F632" s="194"/>
      <c r="G632" s="194"/>
      <c r="H632" s="194"/>
      <c r="I632" s="194"/>
      <c r="J632" s="194"/>
      <c r="K632" s="194"/>
      <c r="L632" s="194"/>
      <c r="M632" s="194"/>
      <c r="N632" s="194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</row>
    <row r="633" ht="15.75" customHeight="1">
      <c r="A633" s="194"/>
      <c r="B633" s="195"/>
      <c r="C633" s="194"/>
      <c r="D633" s="194"/>
      <c r="E633" s="194"/>
      <c r="F633" s="194"/>
      <c r="G633" s="194"/>
      <c r="H633" s="194"/>
      <c r="I633" s="194"/>
      <c r="J633" s="194"/>
      <c r="K633" s="194"/>
      <c r="L633" s="194"/>
      <c r="M633" s="194"/>
      <c r="N633" s="194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</row>
    <row r="634" ht="15.75" customHeight="1">
      <c r="A634" s="194"/>
      <c r="B634" s="195"/>
      <c r="C634" s="194"/>
      <c r="D634" s="194"/>
      <c r="E634" s="194"/>
      <c r="F634" s="194"/>
      <c r="G634" s="194"/>
      <c r="H634" s="194"/>
      <c r="I634" s="194"/>
      <c r="J634" s="194"/>
      <c r="K634" s="194"/>
      <c r="L634" s="194"/>
      <c r="M634" s="194"/>
      <c r="N634" s="194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</row>
    <row r="635" ht="15.75" customHeight="1">
      <c r="A635" s="194"/>
      <c r="B635" s="195"/>
      <c r="C635" s="194"/>
      <c r="D635" s="194"/>
      <c r="E635" s="194"/>
      <c r="F635" s="194"/>
      <c r="G635" s="194"/>
      <c r="H635" s="194"/>
      <c r="I635" s="194"/>
      <c r="J635" s="194"/>
      <c r="K635" s="194"/>
      <c r="L635" s="194"/>
      <c r="M635" s="194"/>
      <c r="N635" s="194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</row>
    <row r="636" ht="15.75" customHeight="1">
      <c r="A636" s="194"/>
      <c r="B636" s="195"/>
      <c r="C636" s="194"/>
      <c r="D636" s="194"/>
      <c r="E636" s="194"/>
      <c r="F636" s="194"/>
      <c r="G636" s="194"/>
      <c r="H636" s="194"/>
      <c r="I636" s="194"/>
      <c r="J636" s="194"/>
      <c r="K636" s="194"/>
      <c r="L636" s="194"/>
      <c r="M636" s="194"/>
      <c r="N636" s="194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</row>
    <row r="637" ht="15.75" customHeight="1">
      <c r="A637" s="194"/>
      <c r="B637" s="195"/>
      <c r="C637" s="194"/>
      <c r="D637" s="194"/>
      <c r="E637" s="194"/>
      <c r="F637" s="194"/>
      <c r="G637" s="194"/>
      <c r="H637" s="194"/>
      <c r="I637" s="194"/>
      <c r="J637" s="194"/>
      <c r="K637" s="194"/>
      <c r="L637" s="194"/>
      <c r="M637" s="194"/>
      <c r="N637" s="194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</row>
    <row r="638" ht="15.75" customHeight="1">
      <c r="A638" s="194"/>
      <c r="B638" s="195"/>
      <c r="C638" s="194"/>
      <c r="D638" s="194"/>
      <c r="E638" s="194"/>
      <c r="F638" s="194"/>
      <c r="G638" s="194"/>
      <c r="H638" s="194"/>
      <c r="I638" s="194"/>
      <c r="J638" s="194"/>
      <c r="K638" s="194"/>
      <c r="L638" s="194"/>
      <c r="M638" s="194"/>
      <c r="N638" s="194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</row>
    <row r="639" ht="15.75" customHeight="1">
      <c r="A639" s="194"/>
      <c r="B639" s="195"/>
      <c r="C639" s="194"/>
      <c r="D639" s="194"/>
      <c r="E639" s="194"/>
      <c r="F639" s="194"/>
      <c r="G639" s="194"/>
      <c r="H639" s="194"/>
      <c r="I639" s="194"/>
      <c r="J639" s="194"/>
      <c r="K639" s="194"/>
      <c r="L639" s="194"/>
      <c r="M639" s="194"/>
      <c r="N639" s="194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</row>
    <row r="640" ht="15.75" customHeight="1">
      <c r="A640" s="194"/>
      <c r="B640" s="195"/>
      <c r="C640" s="194"/>
      <c r="D640" s="194"/>
      <c r="E640" s="194"/>
      <c r="F640" s="194"/>
      <c r="G640" s="194"/>
      <c r="H640" s="194"/>
      <c r="I640" s="194"/>
      <c r="J640" s="194"/>
      <c r="K640" s="194"/>
      <c r="L640" s="194"/>
      <c r="M640" s="194"/>
      <c r="N640" s="194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</row>
    <row r="641" ht="15.75" customHeight="1">
      <c r="A641" s="194"/>
      <c r="B641" s="195"/>
      <c r="C641" s="194"/>
      <c r="D641" s="194"/>
      <c r="E641" s="194"/>
      <c r="F641" s="194"/>
      <c r="G641" s="194"/>
      <c r="H641" s="194"/>
      <c r="I641" s="194"/>
      <c r="J641" s="194"/>
      <c r="K641" s="194"/>
      <c r="L641" s="194"/>
      <c r="M641" s="194"/>
      <c r="N641" s="194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</row>
    <row r="642" ht="15.75" customHeight="1">
      <c r="A642" s="194"/>
      <c r="B642" s="195"/>
      <c r="C642" s="194"/>
      <c r="D642" s="194"/>
      <c r="E642" s="194"/>
      <c r="F642" s="194"/>
      <c r="G642" s="194"/>
      <c r="H642" s="194"/>
      <c r="I642" s="194"/>
      <c r="J642" s="194"/>
      <c r="K642" s="194"/>
      <c r="L642" s="194"/>
      <c r="M642" s="194"/>
      <c r="N642" s="194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</row>
    <row r="643" ht="15.75" customHeight="1">
      <c r="A643" s="194"/>
      <c r="B643" s="195"/>
      <c r="C643" s="194"/>
      <c r="D643" s="194"/>
      <c r="E643" s="194"/>
      <c r="F643" s="194"/>
      <c r="G643" s="194"/>
      <c r="H643" s="194"/>
      <c r="I643" s="194"/>
      <c r="J643" s="194"/>
      <c r="K643" s="194"/>
      <c r="L643" s="194"/>
      <c r="M643" s="194"/>
      <c r="N643" s="194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</row>
    <row r="644" ht="15.75" customHeight="1">
      <c r="A644" s="194"/>
      <c r="B644" s="195"/>
      <c r="C644" s="194"/>
      <c r="D644" s="194"/>
      <c r="E644" s="194"/>
      <c r="F644" s="194"/>
      <c r="G644" s="194"/>
      <c r="H644" s="194"/>
      <c r="I644" s="194"/>
      <c r="J644" s="194"/>
      <c r="K644" s="194"/>
      <c r="L644" s="194"/>
      <c r="M644" s="194"/>
      <c r="N644" s="194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</row>
    <row r="645" ht="15.75" customHeight="1">
      <c r="A645" s="194"/>
      <c r="B645" s="195"/>
      <c r="C645" s="194"/>
      <c r="D645" s="194"/>
      <c r="E645" s="194"/>
      <c r="F645" s="194"/>
      <c r="G645" s="194"/>
      <c r="H645" s="194"/>
      <c r="I645" s="194"/>
      <c r="J645" s="194"/>
      <c r="K645" s="194"/>
      <c r="L645" s="194"/>
      <c r="M645" s="194"/>
      <c r="N645" s="194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</row>
    <row r="646" ht="15.75" customHeight="1">
      <c r="A646" s="194"/>
      <c r="B646" s="195"/>
      <c r="C646" s="194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</row>
    <row r="647" ht="15.75" customHeight="1">
      <c r="A647" s="194"/>
      <c r="B647" s="195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</row>
    <row r="648" ht="15.75" customHeight="1">
      <c r="A648" s="194"/>
      <c r="B648" s="195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</row>
    <row r="649" ht="15.75" customHeight="1">
      <c r="A649" s="194"/>
      <c r="B649" s="195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</row>
    <row r="650" ht="15.75" customHeight="1">
      <c r="A650" s="194"/>
      <c r="B650" s="195"/>
      <c r="C650" s="194"/>
      <c r="D650" s="194"/>
      <c r="E650" s="194"/>
      <c r="F650" s="194"/>
      <c r="G650" s="194"/>
      <c r="H650" s="194"/>
      <c r="I650" s="194"/>
      <c r="J650" s="194"/>
      <c r="K650" s="194"/>
      <c r="L650" s="194"/>
      <c r="M650" s="194"/>
      <c r="N650" s="194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</row>
    <row r="651" ht="15.75" customHeight="1">
      <c r="A651" s="194"/>
      <c r="B651" s="195"/>
      <c r="C651" s="194"/>
      <c r="D651" s="194"/>
      <c r="E651" s="194"/>
      <c r="F651" s="194"/>
      <c r="G651" s="194"/>
      <c r="H651" s="194"/>
      <c r="I651" s="194"/>
      <c r="J651" s="194"/>
      <c r="K651" s="194"/>
      <c r="L651" s="194"/>
      <c r="M651" s="194"/>
      <c r="N651" s="194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</row>
    <row r="652" ht="15.75" customHeight="1">
      <c r="A652" s="194"/>
      <c r="B652" s="195"/>
      <c r="C652" s="194"/>
      <c r="D652" s="194"/>
      <c r="E652" s="194"/>
      <c r="F652" s="194"/>
      <c r="G652" s="194"/>
      <c r="H652" s="194"/>
      <c r="I652" s="194"/>
      <c r="J652" s="194"/>
      <c r="K652" s="194"/>
      <c r="L652" s="194"/>
      <c r="M652" s="194"/>
      <c r="N652" s="194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</row>
    <row r="653" ht="15.75" customHeight="1">
      <c r="A653" s="194"/>
      <c r="B653" s="195"/>
      <c r="C653" s="194"/>
      <c r="D653" s="194"/>
      <c r="E653" s="194"/>
      <c r="F653" s="194"/>
      <c r="G653" s="194"/>
      <c r="H653" s="194"/>
      <c r="I653" s="194"/>
      <c r="J653" s="194"/>
      <c r="K653" s="194"/>
      <c r="L653" s="194"/>
      <c r="M653" s="194"/>
      <c r="N653" s="194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</row>
    <row r="654" ht="15.75" customHeight="1">
      <c r="A654" s="194"/>
      <c r="B654" s="195"/>
      <c r="C654" s="194"/>
      <c r="D654" s="194"/>
      <c r="E654" s="194"/>
      <c r="F654" s="194"/>
      <c r="G654" s="194"/>
      <c r="H654" s="194"/>
      <c r="I654" s="194"/>
      <c r="J654" s="194"/>
      <c r="K654" s="194"/>
      <c r="L654" s="194"/>
      <c r="M654" s="194"/>
      <c r="N654" s="194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</row>
    <row r="655" ht="15.75" customHeight="1">
      <c r="A655" s="194"/>
      <c r="B655" s="195"/>
      <c r="C655" s="194"/>
      <c r="D655" s="194"/>
      <c r="E655" s="194"/>
      <c r="F655" s="194"/>
      <c r="G655" s="194"/>
      <c r="H655" s="194"/>
      <c r="I655" s="194"/>
      <c r="J655" s="194"/>
      <c r="K655" s="194"/>
      <c r="L655" s="194"/>
      <c r="M655" s="194"/>
      <c r="N655" s="194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</row>
    <row r="656" ht="15.75" customHeight="1">
      <c r="A656" s="194"/>
      <c r="B656" s="195"/>
      <c r="C656" s="194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</row>
    <row r="657" ht="15.75" customHeight="1">
      <c r="A657" s="194"/>
      <c r="B657" s="195"/>
      <c r="C657" s="194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  <c r="N657" s="194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</row>
    <row r="658" ht="15.75" customHeight="1">
      <c r="A658" s="194"/>
      <c r="B658" s="195"/>
      <c r="C658" s="194"/>
      <c r="D658" s="194"/>
      <c r="E658" s="194"/>
      <c r="F658" s="194"/>
      <c r="G658" s="194"/>
      <c r="H658" s="194"/>
      <c r="I658" s="194"/>
      <c r="J658" s="194"/>
      <c r="K658" s="194"/>
      <c r="L658" s="194"/>
      <c r="M658" s="194"/>
      <c r="N658" s="194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</row>
    <row r="659" ht="15.75" customHeight="1">
      <c r="A659" s="194"/>
      <c r="B659" s="195"/>
      <c r="C659" s="194"/>
      <c r="D659" s="194"/>
      <c r="E659" s="194"/>
      <c r="F659" s="194"/>
      <c r="G659" s="194"/>
      <c r="H659" s="194"/>
      <c r="I659" s="194"/>
      <c r="J659" s="194"/>
      <c r="K659" s="194"/>
      <c r="L659" s="194"/>
      <c r="M659" s="194"/>
      <c r="N659" s="194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</row>
    <row r="660" ht="15.75" customHeight="1">
      <c r="A660" s="194"/>
      <c r="B660" s="195"/>
      <c r="C660" s="194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</row>
    <row r="661" ht="15.75" customHeight="1">
      <c r="A661" s="194"/>
      <c r="B661" s="195"/>
      <c r="C661" s="194"/>
      <c r="D661" s="194"/>
      <c r="E661" s="194"/>
      <c r="F661" s="194"/>
      <c r="G661" s="194"/>
      <c r="H661" s="194"/>
      <c r="I661" s="194"/>
      <c r="J661" s="194"/>
      <c r="K661" s="194"/>
      <c r="L661" s="194"/>
      <c r="M661" s="194"/>
      <c r="N661" s="194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</row>
    <row r="662" ht="15.75" customHeight="1">
      <c r="A662" s="194"/>
      <c r="B662" s="195"/>
      <c r="C662" s="194"/>
      <c r="D662" s="194"/>
      <c r="E662" s="194"/>
      <c r="F662" s="194"/>
      <c r="G662" s="194"/>
      <c r="H662" s="194"/>
      <c r="I662" s="194"/>
      <c r="J662" s="194"/>
      <c r="K662" s="194"/>
      <c r="L662" s="194"/>
      <c r="M662" s="194"/>
      <c r="N662" s="194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</row>
    <row r="663" ht="15.75" customHeight="1">
      <c r="A663" s="194"/>
      <c r="B663" s="195"/>
      <c r="C663" s="194"/>
      <c r="D663" s="194"/>
      <c r="E663" s="194"/>
      <c r="F663" s="194"/>
      <c r="G663" s="194"/>
      <c r="H663" s="194"/>
      <c r="I663" s="194"/>
      <c r="J663" s="194"/>
      <c r="K663" s="194"/>
      <c r="L663" s="194"/>
      <c r="M663" s="194"/>
      <c r="N663" s="194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</row>
    <row r="664" ht="15.75" customHeight="1">
      <c r="A664" s="194"/>
      <c r="B664" s="195"/>
      <c r="C664" s="194"/>
      <c r="D664" s="194"/>
      <c r="E664" s="194"/>
      <c r="F664" s="194"/>
      <c r="G664" s="194"/>
      <c r="H664" s="194"/>
      <c r="I664" s="194"/>
      <c r="J664" s="194"/>
      <c r="K664" s="194"/>
      <c r="L664" s="194"/>
      <c r="M664" s="194"/>
      <c r="N664" s="194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</row>
    <row r="665" ht="15.75" customHeight="1">
      <c r="A665" s="194"/>
      <c r="B665" s="195"/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</row>
    <row r="666" ht="15.75" customHeight="1">
      <c r="A666" s="194"/>
      <c r="B666" s="195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</row>
    <row r="667" ht="15.75" customHeight="1">
      <c r="A667" s="194"/>
      <c r="B667" s="195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</row>
    <row r="668" ht="15.75" customHeight="1">
      <c r="A668" s="194"/>
      <c r="B668" s="195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</row>
    <row r="669" ht="15.75" customHeight="1">
      <c r="A669" s="194"/>
      <c r="B669" s="195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</row>
    <row r="670" ht="15.75" customHeight="1">
      <c r="A670" s="194"/>
      <c r="B670" s="195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</row>
    <row r="671" ht="15.75" customHeight="1">
      <c r="A671" s="194"/>
      <c r="B671" s="195"/>
      <c r="C671" s="194"/>
      <c r="D671" s="194"/>
      <c r="E671" s="194"/>
      <c r="F671" s="194"/>
      <c r="G671" s="194"/>
      <c r="H671" s="194"/>
      <c r="I671" s="194"/>
      <c r="J671" s="194"/>
      <c r="K671" s="194"/>
      <c r="L671" s="194"/>
      <c r="M671" s="194"/>
      <c r="N671" s="194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</row>
    <row r="672" ht="15.75" customHeight="1">
      <c r="A672" s="194"/>
      <c r="B672" s="195"/>
      <c r="C672" s="194"/>
      <c r="D672" s="194"/>
      <c r="E672" s="194"/>
      <c r="F672" s="194"/>
      <c r="G672" s="194"/>
      <c r="H672" s="194"/>
      <c r="I672" s="194"/>
      <c r="J672" s="194"/>
      <c r="K672" s="194"/>
      <c r="L672" s="194"/>
      <c r="M672" s="194"/>
      <c r="N672" s="194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</row>
    <row r="673" ht="15.75" customHeight="1">
      <c r="A673" s="194"/>
      <c r="B673" s="195"/>
      <c r="C673" s="194"/>
      <c r="D673" s="194"/>
      <c r="E673" s="194"/>
      <c r="F673" s="194"/>
      <c r="G673" s="194"/>
      <c r="H673" s="194"/>
      <c r="I673" s="194"/>
      <c r="J673" s="194"/>
      <c r="K673" s="194"/>
      <c r="L673" s="194"/>
      <c r="M673" s="194"/>
      <c r="N673" s="194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</row>
    <row r="674" ht="15.75" customHeight="1">
      <c r="A674" s="194"/>
      <c r="B674" s="195"/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</row>
    <row r="675" ht="15.75" customHeight="1">
      <c r="A675" s="194"/>
      <c r="B675" s="195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</row>
    <row r="676" ht="15.75" customHeight="1">
      <c r="A676" s="194"/>
      <c r="B676" s="195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</row>
    <row r="677" ht="15.75" customHeight="1">
      <c r="A677" s="194"/>
      <c r="B677" s="195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</row>
    <row r="678" ht="15.75" customHeight="1">
      <c r="A678" s="194"/>
      <c r="B678" s="195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</row>
    <row r="679" ht="15.75" customHeight="1">
      <c r="A679" s="194"/>
      <c r="B679" s="195"/>
      <c r="C679" s="194"/>
      <c r="D679" s="194"/>
      <c r="E679" s="194"/>
      <c r="F679" s="194"/>
      <c r="G679" s="194"/>
      <c r="H679" s="194"/>
      <c r="I679" s="194"/>
      <c r="J679" s="194"/>
      <c r="K679" s="194"/>
      <c r="L679" s="194"/>
      <c r="M679" s="194"/>
      <c r="N679" s="194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</row>
    <row r="680" ht="15.75" customHeight="1">
      <c r="A680" s="194"/>
      <c r="B680" s="195"/>
      <c r="C680" s="194"/>
      <c r="D680" s="194"/>
      <c r="E680" s="194"/>
      <c r="F680" s="194"/>
      <c r="G680" s="194"/>
      <c r="H680" s="194"/>
      <c r="I680" s="194"/>
      <c r="J680" s="194"/>
      <c r="K680" s="194"/>
      <c r="L680" s="194"/>
      <c r="M680" s="194"/>
      <c r="N680" s="194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</row>
    <row r="681" ht="15.75" customHeight="1">
      <c r="A681" s="194"/>
      <c r="B681" s="195"/>
      <c r="C681" s="194"/>
      <c r="D681" s="194"/>
      <c r="E681" s="194"/>
      <c r="F681" s="194"/>
      <c r="G681" s="194"/>
      <c r="H681" s="194"/>
      <c r="I681" s="194"/>
      <c r="J681" s="194"/>
      <c r="K681" s="194"/>
      <c r="L681" s="194"/>
      <c r="M681" s="194"/>
      <c r="N681" s="194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</row>
    <row r="682" ht="15.75" customHeight="1">
      <c r="A682" s="194"/>
      <c r="B682" s="195"/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</row>
    <row r="683" ht="15.75" customHeight="1">
      <c r="A683" s="194"/>
      <c r="B683" s="195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</row>
    <row r="684" ht="15.75" customHeight="1">
      <c r="A684" s="194"/>
      <c r="B684" s="195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</row>
    <row r="685" ht="15.75" customHeight="1">
      <c r="A685" s="194"/>
      <c r="B685" s="195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</row>
    <row r="686" ht="15.75" customHeight="1">
      <c r="A686" s="194"/>
      <c r="B686" s="195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</row>
    <row r="687" ht="15.75" customHeight="1">
      <c r="A687" s="194"/>
      <c r="B687" s="195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</row>
    <row r="688" ht="15.75" customHeight="1">
      <c r="A688" s="194"/>
      <c r="B688" s="195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</row>
    <row r="689" ht="15.75" customHeight="1">
      <c r="A689" s="194"/>
      <c r="B689" s="195"/>
      <c r="C689" s="194"/>
      <c r="D689" s="194"/>
      <c r="E689" s="194"/>
      <c r="F689" s="194"/>
      <c r="G689" s="194"/>
      <c r="H689" s="194"/>
      <c r="I689" s="194"/>
      <c r="J689" s="194"/>
      <c r="K689" s="194"/>
      <c r="L689" s="194"/>
      <c r="M689" s="194"/>
      <c r="N689" s="194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</row>
    <row r="690" ht="15.75" customHeight="1">
      <c r="A690" s="194"/>
      <c r="B690" s="195"/>
      <c r="C690" s="194"/>
      <c r="D690" s="194"/>
      <c r="E690" s="194"/>
      <c r="F690" s="194"/>
      <c r="G690" s="194"/>
      <c r="H690" s="194"/>
      <c r="I690" s="194"/>
      <c r="J690" s="194"/>
      <c r="K690" s="194"/>
      <c r="L690" s="194"/>
      <c r="M690" s="194"/>
      <c r="N690" s="194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</row>
    <row r="691" ht="15.75" customHeight="1">
      <c r="A691" s="194"/>
      <c r="B691" s="195"/>
      <c r="C691" s="194"/>
      <c r="D691" s="194"/>
      <c r="E691" s="194"/>
      <c r="F691" s="194"/>
      <c r="G691" s="194"/>
      <c r="H691" s="194"/>
      <c r="I691" s="194"/>
      <c r="J691" s="194"/>
      <c r="K691" s="194"/>
      <c r="L691" s="194"/>
      <c r="M691" s="194"/>
      <c r="N691" s="194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</row>
    <row r="692" ht="15.75" customHeight="1">
      <c r="A692" s="194"/>
      <c r="B692" s="195"/>
      <c r="C692" s="194"/>
      <c r="D692" s="194"/>
      <c r="E692" s="194"/>
      <c r="F692" s="194"/>
      <c r="G692" s="194"/>
      <c r="H692" s="194"/>
      <c r="I692" s="194"/>
      <c r="J692" s="194"/>
      <c r="K692" s="194"/>
      <c r="L692" s="194"/>
      <c r="M692" s="194"/>
      <c r="N692" s="194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</row>
    <row r="693" ht="15.75" customHeight="1">
      <c r="A693" s="194"/>
      <c r="B693" s="195"/>
      <c r="C693" s="194"/>
      <c r="D693" s="194"/>
      <c r="E693" s="194"/>
      <c r="F693" s="194"/>
      <c r="G693" s="194"/>
      <c r="H693" s="194"/>
      <c r="I693" s="194"/>
      <c r="J693" s="194"/>
      <c r="K693" s="194"/>
      <c r="L693" s="194"/>
      <c r="M693" s="194"/>
      <c r="N693" s="194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</row>
    <row r="694" ht="15.75" customHeight="1">
      <c r="A694" s="194"/>
      <c r="B694" s="195"/>
      <c r="C694" s="194"/>
      <c r="D694" s="194"/>
      <c r="E694" s="194"/>
      <c r="F694" s="194"/>
      <c r="G694" s="194"/>
      <c r="H694" s="194"/>
      <c r="I694" s="194"/>
      <c r="J694" s="194"/>
      <c r="K694" s="194"/>
      <c r="L694" s="194"/>
      <c r="M694" s="194"/>
      <c r="N694" s="194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</row>
    <row r="695" ht="15.75" customHeight="1">
      <c r="A695" s="194"/>
      <c r="B695" s="195"/>
      <c r="C695" s="194"/>
      <c r="D695" s="194"/>
      <c r="E695" s="194"/>
      <c r="F695" s="194"/>
      <c r="G695" s="194"/>
      <c r="H695" s="194"/>
      <c r="I695" s="194"/>
      <c r="J695" s="194"/>
      <c r="K695" s="194"/>
      <c r="L695" s="194"/>
      <c r="M695" s="194"/>
      <c r="N695" s="194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</row>
    <row r="696" ht="15.75" customHeight="1">
      <c r="A696" s="194"/>
      <c r="B696" s="195"/>
      <c r="C696" s="194"/>
      <c r="D696" s="194"/>
      <c r="E696" s="194"/>
      <c r="F696" s="194"/>
      <c r="G696" s="194"/>
      <c r="H696" s="194"/>
      <c r="I696" s="194"/>
      <c r="J696" s="194"/>
      <c r="K696" s="194"/>
      <c r="L696" s="194"/>
      <c r="M696" s="194"/>
      <c r="N696" s="194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</row>
    <row r="697" ht="15.75" customHeight="1">
      <c r="A697" s="194"/>
      <c r="B697" s="195"/>
      <c r="C697" s="194"/>
      <c r="D697" s="194"/>
      <c r="E697" s="194"/>
      <c r="F697" s="194"/>
      <c r="G697" s="194"/>
      <c r="H697" s="194"/>
      <c r="I697" s="194"/>
      <c r="J697" s="194"/>
      <c r="K697" s="194"/>
      <c r="L697" s="194"/>
      <c r="M697" s="194"/>
      <c r="N697" s="194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</row>
    <row r="698" ht="15.75" customHeight="1">
      <c r="A698" s="194"/>
      <c r="B698" s="195"/>
      <c r="C698" s="194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  <c r="N698" s="194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</row>
    <row r="699" ht="15.75" customHeight="1">
      <c r="A699" s="194"/>
      <c r="B699" s="195"/>
      <c r="C699" s="194"/>
      <c r="D699" s="194"/>
      <c r="E699" s="194"/>
      <c r="F699" s="194"/>
      <c r="G699" s="194"/>
      <c r="H699" s="194"/>
      <c r="I699" s="194"/>
      <c r="J699" s="194"/>
      <c r="K699" s="194"/>
      <c r="L699" s="194"/>
      <c r="M699" s="194"/>
      <c r="N699" s="194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</row>
    <row r="700" ht="15.75" customHeight="1">
      <c r="A700" s="194"/>
      <c r="B700" s="195"/>
      <c r="C700" s="194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</row>
    <row r="701" ht="15.75" customHeight="1">
      <c r="A701" s="194"/>
      <c r="B701" s="195"/>
      <c r="C701" s="194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</row>
    <row r="702" ht="15.75" customHeight="1">
      <c r="A702" s="194"/>
      <c r="B702" s="195"/>
      <c r="C702" s="194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</row>
    <row r="703" ht="15.75" customHeight="1">
      <c r="A703" s="194"/>
      <c r="B703" s="195"/>
      <c r="C703" s="194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</row>
    <row r="704" ht="15.75" customHeight="1">
      <c r="A704" s="194"/>
      <c r="B704" s="195"/>
      <c r="C704" s="194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</row>
    <row r="705" ht="15.75" customHeight="1">
      <c r="A705" s="194"/>
      <c r="B705" s="195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</row>
    <row r="706" ht="15.75" customHeight="1">
      <c r="A706" s="194"/>
      <c r="B706" s="195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</row>
    <row r="707" ht="15.75" customHeight="1">
      <c r="A707" s="194"/>
      <c r="B707" s="195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</row>
    <row r="708" ht="15.75" customHeight="1">
      <c r="A708" s="194"/>
      <c r="B708" s="195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</row>
    <row r="709" ht="15.75" customHeight="1">
      <c r="A709" s="194"/>
      <c r="B709" s="195"/>
      <c r="C709" s="194"/>
      <c r="D709" s="194"/>
      <c r="E709" s="194"/>
      <c r="F709" s="194"/>
      <c r="G709" s="194"/>
      <c r="H709" s="194"/>
      <c r="I709" s="194"/>
      <c r="J709" s="194"/>
      <c r="K709" s="194"/>
      <c r="L709" s="194"/>
      <c r="M709" s="194"/>
      <c r="N709" s="194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</row>
    <row r="710" ht="15.75" customHeight="1">
      <c r="A710" s="194"/>
      <c r="B710" s="195"/>
      <c r="C710" s="194"/>
      <c r="D710" s="194"/>
      <c r="E710" s="194"/>
      <c r="F710" s="194"/>
      <c r="G710" s="194"/>
      <c r="H710" s="194"/>
      <c r="I710" s="194"/>
      <c r="J710" s="194"/>
      <c r="K710" s="194"/>
      <c r="L710" s="194"/>
      <c r="M710" s="194"/>
      <c r="N710" s="194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</row>
    <row r="711" ht="15.75" customHeight="1">
      <c r="A711" s="194"/>
      <c r="B711" s="195"/>
      <c r="C711" s="194"/>
      <c r="D711" s="194"/>
      <c r="E711" s="194"/>
      <c r="F711" s="194"/>
      <c r="G711" s="194"/>
      <c r="H711" s="194"/>
      <c r="I711" s="194"/>
      <c r="J711" s="194"/>
      <c r="K711" s="194"/>
      <c r="L711" s="194"/>
      <c r="M711" s="194"/>
      <c r="N711" s="194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</row>
    <row r="712" ht="15.75" customHeight="1">
      <c r="A712" s="194"/>
      <c r="B712" s="195"/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</row>
    <row r="713" ht="15.75" customHeight="1">
      <c r="A713" s="194"/>
      <c r="B713" s="195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</row>
    <row r="714" ht="15.75" customHeight="1">
      <c r="A714" s="194"/>
      <c r="B714" s="195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</row>
    <row r="715" ht="15.75" customHeight="1">
      <c r="A715" s="194"/>
      <c r="B715" s="195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</row>
    <row r="716" ht="15.75" customHeight="1">
      <c r="A716" s="194"/>
      <c r="B716" s="195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</row>
    <row r="717" ht="15.75" customHeight="1">
      <c r="A717" s="194"/>
      <c r="B717" s="195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</row>
    <row r="718" ht="15.75" customHeight="1">
      <c r="A718" s="194"/>
      <c r="B718" s="195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</row>
    <row r="719" ht="15.75" customHeight="1">
      <c r="A719" s="194"/>
      <c r="B719" s="195"/>
      <c r="C719" s="194"/>
      <c r="D719" s="194"/>
      <c r="E719" s="194"/>
      <c r="F719" s="194"/>
      <c r="G719" s="194"/>
      <c r="H719" s="194"/>
      <c r="I719" s="194"/>
      <c r="J719" s="194"/>
      <c r="K719" s="194"/>
      <c r="L719" s="194"/>
      <c r="M719" s="194"/>
      <c r="N719" s="194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</row>
    <row r="720" ht="15.75" customHeight="1">
      <c r="A720" s="194"/>
      <c r="B720" s="195"/>
      <c r="C720" s="194"/>
      <c r="D720" s="194"/>
      <c r="E720" s="194"/>
      <c r="F720" s="194"/>
      <c r="G720" s="194"/>
      <c r="H720" s="194"/>
      <c r="I720" s="194"/>
      <c r="J720" s="194"/>
      <c r="K720" s="194"/>
      <c r="L720" s="194"/>
      <c r="M720" s="194"/>
      <c r="N720" s="194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</row>
    <row r="721" ht="15.75" customHeight="1">
      <c r="A721" s="194"/>
      <c r="B721" s="195"/>
      <c r="C721" s="194"/>
      <c r="D721" s="194"/>
      <c r="E721" s="194"/>
      <c r="F721" s="194"/>
      <c r="G721" s="194"/>
      <c r="H721" s="194"/>
      <c r="I721" s="194"/>
      <c r="J721" s="194"/>
      <c r="K721" s="194"/>
      <c r="L721" s="194"/>
      <c r="M721" s="194"/>
      <c r="N721" s="194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</row>
    <row r="722" ht="15.75" customHeight="1">
      <c r="A722" s="194"/>
      <c r="B722" s="195"/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</row>
    <row r="723" ht="15.75" customHeight="1">
      <c r="A723" s="194"/>
      <c r="B723" s="195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</row>
    <row r="724" ht="15.75" customHeight="1">
      <c r="A724" s="194"/>
      <c r="B724" s="195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</row>
    <row r="725" ht="15.75" customHeight="1">
      <c r="A725" s="194"/>
      <c r="B725" s="195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</row>
    <row r="726" ht="15.75" customHeight="1">
      <c r="A726" s="194"/>
      <c r="B726" s="195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</row>
    <row r="727" ht="15.75" customHeight="1">
      <c r="A727" s="194"/>
      <c r="B727" s="195"/>
      <c r="C727" s="194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</row>
    <row r="728" ht="15.75" customHeight="1">
      <c r="A728" s="194"/>
      <c r="B728" s="195"/>
      <c r="C728" s="194"/>
      <c r="D728" s="194"/>
      <c r="E728" s="194"/>
      <c r="F728" s="194"/>
      <c r="G728" s="194"/>
      <c r="H728" s="194"/>
      <c r="I728" s="194"/>
      <c r="J728" s="194"/>
      <c r="K728" s="194"/>
      <c r="L728" s="194"/>
      <c r="M728" s="194"/>
      <c r="N728" s="194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</row>
    <row r="729" ht="15.75" customHeight="1">
      <c r="A729" s="194"/>
      <c r="B729" s="195"/>
      <c r="C729" s="194"/>
      <c r="D729" s="194"/>
      <c r="E729" s="194"/>
      <c r="F729" s="194"/>
      <c r="G729" s="194"/>
      <c r="H729" s="194"/>
      <c r="I729" s="194"/>
      <c r="J729" s="194"/>
      <c r="K729" s="194"/>
      <c r="L729" s="194"/>
      <c r="M729" s="194"/>
      <c r="N729" s="194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</row>
    <row r="730" ht="15.75" customHeight="1">
      <c r="A730" s="194"/>
      <c r="B730" s="195"/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</row>
    <row r="731" ht="15.75" customHeight="1">
      <c r="A731" s="194"/>
      <c r="B731" s="195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</row>
    <row r="732" ht="15.75" customHeight="1">
      <c r="A732" s="194"/>
      <c r="B732" s="195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</row>
    <row r="733" ht="15.75" customHeight="1">
      <c r="A733" s="194"/>
      <c r="B733" s="195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</row>
    <row r="734" ht="15.75" customHeight="1">
      <c r="A734" s="194"/>
      <c r="B734" s="195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</row>
    <row r="735" ht="15.75" customHeight="1">
      <c r="A735" s="194"/>
      <c r="B735" s="195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</row>
    <row r="736" ht="15.75" customHeight="1">
      <c r="A736" s="194"/>
      <c r="B736" s="195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</row>
    <row r="737" ht="15.75" customHeight="1">
      <c r="A737" s="194"/>
      <c r="B737" s="195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</row>
    <row r="738" ht="15.75" customHeight="1">
      <c r="A738" s="194"/>
      <c r="B738" s="195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</row>
    <row r="739" ht="15.75" customHeight="1">
      <c r="A739" s="194"/>
      <c r="B739" s="195"/>
      <c r="C739" s="194"/>
      <c r="D739" s="194"/>
      <c r="E739" s="194"/>
      <c r="F739" s="194"/>
      <c r="G739" s="194"/>
      <c r="H739" s="194"/>
      <c r="I739" s="194"/>
      <c r="J739" s="194"/>
      <c r="K739" s="194"/>
      <c r="L739" s="194"/>
      <c r="M739" s="194"/>
      <c r="N739" s="194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</row>
    <row r="740" ht="15.75" customHeight="1">
      <c r="A740" s="194"/>
      <c r="B740" s="195"/>
      <c r="C740" s="194"/>
      <c r="D740" s="194"/>
      <c r="E740" s="194"/>
      <c r="F740" s="194"/>
      <c r="G740" s="194"/>
      <c r="H740" s="194"/>
      <c r="I740" s="194"/>
      <c r="J740" s="194"/>
      <c r="K740" s="194"/>
      <c r="L740" s="194"/>
      <c r="M740" s="194"/>
      <c r="N740" s="194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</row>
    <row r="741" ht="15.75" customHeight="1">
      <c r="A741" s="194"/>
      <c r="B741" s="195"/>
      <c r="C741" s="194"/>
      <c r="D741" s="194"/>
      <c r="E741" s="194"/>
      <c r="F741" s="194"/>
      <c r="G741" s="194"/>
      <c r="H741" s="194"/>
      <c r="I741" s="194"/>
      <c r="J741" s="194"/>
      <c r="K741" s="194"/>
      <c r="L741" s="194"/>
      <c r="M741" s="194"/>
      <c r="N741" s="194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</row>
    <row r="742" ht="15.75" customHeight="1">
      <c r="A742" s="194"/>
      <c r="B742" s="195"/>
      <c r="C742" s="194"/>
      <c r="D742" s="194"/>
      <c r="E742" s="194"/>
      <c r="F742" s="194"/>
      <c r="G742" s="194"/>
      <c r="H742" s="194"/>
      <c r="I742" s="194"/>
      <c r="J742" s="194"/>
      <c r="K742" s="194"/>
      <c r="L742" s="194"/>
      <c r="M742" s="194"/>
      <c r="N742" s="194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</row>
    <row r="743" ht="15.75" customHeight="1">
      <c r="A743" s="194"/>
      <c r="B743" s="195"/>
      <c r="C743" s="194"/>
      <c r="D743" s="194"/>
      <c r="E743" s="194"/>
      <c r="F743" s="194"/>
      <c r="G743" s="194"/>
      <c r="H743" s="194"/>
      <c r="I743" s="194"/>
      <c r="J743" s="194"/>
      <c r="K743" s="194"/>
      <c r="L743" s="194"/>
      <c r="M743" s="194"/>
      <c r="N743" s="194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</row>
    <row r="744" ht="15.75" customHeight="1">
      <c r="A744" s="194"/>
      <c r="B744" s="195"/>
      <c r="C744" s="194"/>
      <c r="D744" s="194"/>
      <c r="E744" s="194"/>
      <c r="F744" s="194"/>
      <c r="G744" s="194"/>
      <c r="H744" s="194"/>
      <c r="I744" s="194"/>
      <c r="J744" s="194"/>
      <c r="K744" s="194"/>
      <c r="L744" s="194"/>
      <c r="M744" s="194"/>
      <c r="N744" s="194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</row>
    <row r="745" ht="15.75" customHeight="1">
      <c r="A745" s="194"/>
      <c r="B745" s="195"/>
      <c r="C745" s="194"/>
      <c r="D745" s="194"/>
      <c r="E745" s="194"/>
      <c r="F745" s="194"/>
      <c r="G745" s="194"/>
      <c r="H745" s="194"/>
      <c r="I745" s="194"/>
      <c r="J745" s="194"/>
      <c r="K745" s="194"/>
      <c r="L745" s="194"/>
      <c r="M745" s="194"/>
      <c r="N745" s="194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</row>
    <row r="746" ht="15.75" customHeight="1">
      <c r="A746" s="194"/>
      <c r="B746" s="195"/>
      <c r="C746" s="194"/>
      <c r="D746" s="194"/>
      <c r="E746" s="194"/>
      <c r="F746" s="194"/>
      <c r="G746" s="194"/>
      <c r="H746" s="194"/>
      <c r="I746" s="194"/>
      <c r="J746" s="194"/>
      <c r="K746" s="194"/>
      <c r="L746" s="194"/>
      <c r="M746" s="194"/>
      <c r="N746" s="194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</row>
    <row r="747" ht="15.75" customHeight="1">
      <c r="A747" s="194"/>
      <c r="B747" s="195"/>
      <c r="C747" s="194"/>
      <c r="D747" s="194"/>
      <c r="E747" s="194"/>
      <c r="F747" s="194"/>
      <c r="G747" s="194"/>
      <c r="H747" s="194"/>
      <c r="I747" s="194"/>
      <c r="J747" s="194"/>
      <c r="K747" s="194"/>
      <c r="L747" s="194"/>
      <c r="M747" s="194"/>
      <c r="N747" s="194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</row>
    <row r="748" ht="15.75" customHeight="1">
      <c r="A748" s="194"/>
      <c r="B748" s="195"/>
      <c r="C748" s="194"/>
      <c r="D748" s="194"/>
      <c r="E748" s="194"/>
      <c r="F748" s="194"/>
      <c r="G748" s="194"/>
      <c r="H748" s="194"/>
      <c r="I748" s="194"/>
      <c r="J748" s="194"/>
      <c r="K748" s="194"/>
      <c r="L748" s="194"/>
      <c r="M748" s="194"/>
      <c r="N748" s="194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</row>
    <row r="749" ht="15.75" customHeight="1">
      <c r="A749" s="194"/>
      <c r="B749" s="195"/>
      <c r="C749" s="194"/>
      <c r="D749" s="194"/>
      <c r="E749" s="194"/>
      <c r="F749" s="194"/>
      <c r="G749" s="194"/>
      <c r="H749" s="194"/>
      <c r="I749" s="194"/>
      <c r="J749" s="194"/>
      <c r="K749" s="194"/>
      <c r="L749" s="194"/>
      <c r="M749" s="194"/>
      <c r="N749" s="194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</row>
    <row r="750" ht="15.75" customHeight="1">
      <c r="A750" s="194"/>
      <c r="B750" s="195"/>
      <c r="C750" s="194"/>
      <c r="D750" s="194"/>
      <c r="E750" s="194"/>
      <c r="F750" s="194"/>
      <c r="G750" s="194"/>
      <c r="H750" s="194"/>
      <c r="I750" s="194"/>
      <c r="J750" s="194"/>
      <c r="K750" s="194"/>
      <c r="L750" s="194"/>
      <c r="M750" s="194"/>
      <c r="N750" s="194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</row>
    <row r="751" ht="15.75" customHeight="1">
      <c r="A751" s="194"/>
      <c r="B751" s="195"/>
      <c r="C751" s="194"/>
      <c r="D751" s="194"/>
      <c r="E751" s="194"/>
      <c r="F751" s="194"/>
      <c r="G751" s="194"/>
      <c r="H751" s="194"/>
      <c r="I751" s="194"/>
      <c r="J751" s="194"/>
      <c r="K751" s="194"/>
      <c r="L751" s="194"/>
      <c r="M751" s="194"/>
      <c r="N751" s="194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</row>
    <row r="752" ht="15.75" customHeight="1">
      <c r="A752" s="194"/>
      <c r="B752" s="195"/>
      <c r="C752" s="194"/>
      <c r="D752" s="194"/>
      <c r="E752" s="194"/>
      <c r="F752" s="194"/>
      <c r="G752" s="194"/>
      <c r="H752" s="194"/>
      <c r="I752" s="194"/>
      <c r="J752" s="194"/>
      <c r="K752" s="194"/>
      <c r="L752" s="194"/>
      <c r="M752" s="194"/>
      <c r="N752" s="194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</row>
    <row r="753" ht="15.75" customHeight="1">
      <c r="A753" s="194"/>
      <c r="B753" s="195"/>
      <c r="C753" s="194"/>
      <c r="D753" s="194"/>
      <c r="E753" s="194"/>
      <c r="F753" s="194"/>
      <c r="G753" s="194"/>
      <c r="H753" s="194"/>
      <c r="I753" s="194"/>
      <c r="J753" s="194"/>
      <c r="K753" s="194"/>
      <c r="L753" s="194"/>
      <c r="M753" s="194"/>
      <c r="N753" s="194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</row>
    <row r="754" ht="15.75" customHeight="1">
      <c r="A754" s="194"/>
      <c r="B754" s="195"/>
      <c r="C754" s="194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</row>
    <row r="755" ht="15.75" customHeight="1">
      <c r="A755" s="194"/>
      <c r="B755" s="195"/>
      <c r="C755" s="194"/>
      <c r="D755" s="194"/>
      <c r="E755" s="194"/>
      <c r="F755" s="194"/>
      <c r="G755" s="194"/>
      <c r="H755" s="194"/>
      <c r="I755" s="194"/>
      <c r="J755" s="194"/>
      <c r="K755" s="194"/>
      <c r="L755" s="194"/>
      <c r="M755" s="194"/>
      <c r="N755" s="194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</row>
    <row r="756" ht="15.75" customHeight="1">
      <c r="A756" s="194"/>
      <c r="B756" s="195"/>
      <c r="C756" s="194"/>
      <c r="D756" s="194"/>
      <c r="E756" s="194"/>
      <c r="F756" s="194"/>
      <c r="G756" s="194"/>
      <c r="H756" s="194"/>
      <c r="I756" s="194"/>
      <c r="J756" s="194"/>
      <c r="K756" s="194"/>
      <c r="L756" s="194"/>
      <c r="M756" s="194"/>
      <c r="N756" s="194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</row>
    <row r="757" ht="15.75" customHeight="1">
      <c r="A757" s="194"/>
      <c r="B757" s="195"/>
      <c r="C757" s="194"/>
      <c r="D757" s="194"/>
      <c r="E757" s="194"/>
      <c r="F757" s="194"/>
      <c r="G757" s="194"/>
      <c r="H757" s="194"/>
      <c r="I757" s="194"/>
      <c r="J757" s="194"/>
      <c r="K757" s="194"/>
      <c r="L757" s="194"/>
      <c r="M757" s="194"/>
      <c r="N757" s="194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</row>
    <row r="758" ht="15.75" customHeight="1">
      <c r="A758" s="194"/>
      <c r="B758" s="195"/>
      <c r="C758" s="194"/>
      <c r="D758" s="194"/>
      <c r="E758" s="194"/>
      <c r="F758" s="194"/>
      <c r="G758" s="194"/>
      <c r="H758" s="194"/>
      <c r="I758" s="194"/>
      <c r="J758" s="194"/>
      <c r="K758" s="194"/>
      <c r="L758" s="194"/>
      <c r="M758" s="194"/>
      <c r="N758" s="194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</row>
    <row r="759" ht="15.75" customHeight="1">
      <c r="A759" s="194"/>
      <c r="B759" s="195"/>
      <c r="C759" s="194"/>
      <c r="D759" s="194"/>
      <c r="E759" s="194"/>
      <c r="F759" s="194"/>
      <c r="G759" s="194"/>
      <c r="H759" s="194"/>
      <c r="I759" s="194"/>
      <c r="J759" s="194"/>
      <c r="K759" s="194"/>
      <c r="L759" s="194"/>
      <c r="M759" s="194"/>
      <c r="N759" s="194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</row>
    <row r="760" ht="15.75" customHeight="1">
      <c r="A760" s="194"/>
      <c r="B760" s="195"/>
      <c r="C760" s="194"/>
      <c r="D760" s="194"/>
      <c r="E760" s="194"/>
      <c r="F760" s="194"/>
      <c r="G760" s="194"/>
      <c r="H760" s="194"/>
      <c r="I760" s="194"/>
      <c r="J760" s="194"/>
      <c r="K760" s="194"/>
      <c r="L760" s="194"/>
      <c r="M760" s="194"/>
      <c r="N760" s="194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</row>
    <row r="761" ht="15.75" customHeight="1">
      <c r="A761" s="194"/>
      <c r="B761" s="195"/>
      <c r="C761" s="194"/>
      <c r="D761" s="194"/>
      <c r="E761" s="194"/>
      <c r="F761" s="194"/>
      <c r="G761" s="194"/>
      <c r="H761" s="194"/>
      <c r="I761" s="194"/>
      <c r="J761" s="194"/>
      <c r="K761" s="194"/>
      <c r="L761" s="194"/>
      <c r="M761" s="194"/>
      <c r="N761" s="194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</row>
    <row r="762" ht="15.75" customHeight="1">
      <c r="A762" s="194"/>
      <c r="B762" s="195"/>
      <c r="C762" s="194"/>
      <c r="D762" s="194"/>
      <c r="E762" s="194"/>
      <c r="F762" s="194"/>
      <c r="G762" s="194"/>
      <c r="H762" s="194"/>
      <c r="I762" s="194"/>
      <c r="J762" s="194"/>
      <c r="K762" s="194"/>
      <c r="L762" s="194"/>
      <c r="M762" s="194"/>
      <c r="N762" s="194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</row>
    <row r="763" ht="15.75" customHeight="1">
      <c r="A763" s="194"/>
      <c r="B763" s="195"/>
      <c r="C763" s="194"/>
      <c r="D763" s="194"/>
      <c r="E763" s="194"/>
      <c r="F763" s="194"/>
      <c r="G763" s="194"/>
      <c r="H763" s="194"/>
      <c r="I763" s="194"/>
      <c r="J763" s="194"/>
      <c r="K763" s="194"/>
      <c r="L763" s="194"/>
      <c r="M763" s="194"/>
      <c r="N763" s="194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</row>
    <row r="764" ht="15.75" customHeight="1">
      <c r="A764" s="194"/>
      <c r="B764" s="195"/>
      <c r="C764" s="194"/>
      <c r="D764" s="194"/>
      <c r="E764" s="194"/>
      <c r="F764" s="194"/>
      <c r="G764" s="194"/>
      <c r="H764" s="194"/>
      <c r="I764" s="194"/>
      <c r="J764" s="194"/>
      <c r="K764" s="194"/>
      <c r="L764" s="194"/>
      <c r="M764" s="194"/>
      <c r="N764" s="194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</row>
    <row r="765" ht="15.75" customHeight="1">
      <c r="A765" s="194"/>
      <c r="B765" s="195"/>
      <c r="C765" s="194"/>
      <c r="D765" s="194"/>
      <c r="E765" s="194"/>
      <c r="F765" s="194"/>
      <c r="G765" s="194"/>
      <c r="H765" s="194"/>
      <c r="I765" s="194"/>
      <c r="J765" s="194"/>
      <c r="K765" s="194"/>
      <c r="L765" s="194"/>
      <c r="M765" s="194"/>
      <c r="N765" s="194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</row>
    <row r="766" ht="15.75" customHeight="1">
      <c r="A766" s="194"/>
      <c r="B766" s="195"/>
      <c r="C766" s="194"/>
      <c r="D766" s="194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</row>
    <row r="767" ht="15.75" customHeight="1">
      <c r="A767" s="194"/>
      <c r="B767" s="195"/>
      <c r="C767" s="194"/>
      <c r="D767" s="194"/>
      <c r="E767" s="194"/>
      <c r="F767" s="194"/>
      <c r="G767" s="194"/>
      <c r="H767" s="194"/>
      <c r="I767" s="194"/>
      <c r="J767" s="194"/>
      <c r="K767" s="194"/>
      <c r="L767" s="194"/>
      <c r="M767" s="194"/>
      <c r="N767" s="194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</row>
    <row r="768" ht="15.75" customHeight="1">
      <c r="A768" s="194"/>
      <c r="B768" s="195"/>
      <c r="C768" s="194"/>
      <c r="D768" s="194"/>
      <c r="E768" s="194"/>
      <c r="F768" s="194"/>
      <c r="G768" s="194"/>
      <c r="H768" s="194"/>
      <c r="I768" s="194"/>
      <c r="J768" s="194"/>
      <c r="K768" s="194"/>
      <c r="L768" s="194"/>
      <c r="M768" s="194"/>
      <c r="N768" s="194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</row>
    <row r="769" ht="15.75" customHeight="1">
      <c r="A769" s="194"/>
      <c r="B769" s="195"/>
      <c r="C769" s="194"/>
      <c r="D769" s="194"/>
      <c r="E769" s="194"/>
      <c r="F769" s="194"/>
      <c r="G769" s="194"/>
      <c r="H769" s="194"/>
      <c r="I769" s="194"/>
      <c r="J769" s="194"/>
      <c r="K769" s="194"/>
      <c r="L769" s="194"/>
      <c r="M769" s="194"/>
      <c r="N769" s="194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</row>
    <row r="770" ht="15.75" customHeight="1">
      <c r="A770" s="194"/>
      <c r="B770" s="195"/>
      <c r="C770" s="194"/>
      <c r="D770" s="194"/>
      <c r="E770" s="194"/>
      <c r="F770" s="194"/>
      <c r="G770" s="194"/>
      <c r="H770" s="194"/>
      <c r="I770" s="194"/>
      <c r="J770" s="194"/>
      <c r="K770" s="194"/>
      <c r="L770" s="194"/>
      <c r="M770" s="194"/>
      <c r="N770" s="194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</row>
    <row r="771" ht="15.75" customHeight="1">
      <c r="A771" s="194"/>
      <c r="B771" s="195"/>
      <c r="C771" s="194"/>
      <c r="D771" s="194"/>
      <c r="E771" s="194"/>
      <c r="F771" s="194"/>
      <c r="G771" s="194"/>
      <c r="H771" s="194"/>
      <c r="I771" s="194"/>
      <c r="J771" s="194"/>
      <c r="K771" s="194"/>
      <c r="L771" s="194"/>
      <c r="M771" s="194"/>
      <c r="N771" s="194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</row>
    <row r="772" ht="15.75" customHeight="1">
      <c r="A772" s="194"/>
      <c r="B772" s="195"/>
      <c r="C772" s="194"/>
      <c r="D772" s="194"/>
      <c r="E772" s="194"/>
      <c r="F772" s="194"/>
      <c r="G772" s="194"/>
      <c r="H772" s="194"/>
      <c r="I772" s="194"/>
      <c r="J772" s="194"/>
      <c r="K772" s="194"/>
      <c r="L772" s="194"/>
      <c r="M772" s="194"/>
      <c r="N772" s="194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</row>
    <row r="773" ht="15.75" customHeight="1">
      <c r="A773" s="194"/>
      <c r="B773" s="195"/>
      <c r="C773" s="194"/>
      <c r="D773" s="194"/>
      <c r="E773" s="194"/>
      <c r="F773" s="194"/>
      <c r="G773" s="194"/>
      <c r="H773" s="194"/>
      <c r="I773" s="194"/>
      <c r="J773" s="194"/>
      <c r="K773" s="194"/>
      <c r="L773" s="194"/>
      <c r="M773" s="194"/>
      <c r="N773" s="194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</row>
    <row r="774" ht="15.75" customHeight="1">
      <c r="A774" s="194"/>
      <c r="B774" s="195"/>
      <c r="C774" s="194"/>
      <c r="D774" s="194"/>
      <c r="E774" s="194"/>
      <c r="F774" s="194"/>
      <c r="G774" s="194"/>
      <c r="H774" s="194"/>
      <c r="I774" s="194"/>
      <c r="J774" s="194"/>
      <c r="K774" s="194"/>
      <c r="L774" s="194"/>
      <c r="M774" s="194"/>
      <c r="N774" s="194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</row>
    <row r="775" ht="15.75" customHeight="1">
      <c r="A775" s="194"/>
      <c r="B775" s="195"/>
      <c r="C775" s="194"/>
      <c r="D775" s="194"/>
      <c r="E775" s="194"/>
      <c r="F775" s="194"/>
      <c r="G775" s="194"/>
      <c r="H775" s="194"/>
      <c r="I775" s="194"/>
      <c r="J775" s="194"/>
      <c r="K775" s="194"/>
      <c r="L775" s="194"/>
      <c r="M775" s="194"/>
      <c r="N775" s="194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</row>
    <row r="776" ht="15.75" customHeight="1">
      <c r="A776" s="194"/>
      <c r="B776" s="195"/>
      <c r="C776" s="194"/>
      <c r="D776" s="194"/>
      <c r="E776" s="194"/>
      <c r="F776" s="194"/>
      <c r="G776" s="194"/>
      <c r="H776" s="194"/>
      <c r="I776" s="194"/>
      <c r="J776" s="194"/>
      <c r="K776" s="194"/>
      <c r="L776" s="194"/>
      <c r="M776" s="194"/>
      <c r="N776" s="194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</row>
    <row r="777" ht="15.75" customHeight="1">
      <c r="A777" s="194"/>
      <c r="B777" s="195"/>
      <c r="C777" s="194"/>
      <c r="D777" s="194"/>
      <c r="E777" s="194"/>
      <c r="F777" s="194"/>
      <c r="G777" s="194"/>
      <c r="H777" s="194"/>
      <c r="I777" s="194"/>
      <c r="J777" s="194"/>
      <c r="K777" s="194"/>
      <c r="L777" s="194"/>
      <c r="M777" s="194"/>
      <c r="N777" s="194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</row>
    <row r="778" ht="15.75" customHeight="1">
      <c r="A778" s="194"/>
      <c r="B778" s="195"/>
      <c r="C778" s="194"/>
      <c r="D778" s="194"/>
      <c r="E778" s="194"/>
      <c r="F778" s="194"/>
      <c r="G778" s="194"/>
      <c r="H778" s="194"/>
      <c r="I778" s="194"/>
      <c r="J778" s="194"/>
      <c r="K778" s="194"/>
      <c r="L778" s="194"/>
      <c r="M778" s="194"/>
      <c r="N778" s="194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</row>
    <row r="779" ht="15.75" customHeight="1">
      <c r="A779" s="194"/>
      <c r="B779" s="195"/>
      <c r="C779" s="194"/>
      <c r="D779" s="194"/>
      <c r="E779" s="194"/>
      <c r="F779" s="194"/>
      <c r="G779" s="194"/>
      <c r="H779" s="194"/>
      <c r="I779" s="194"/>
      <c r="J779" s="194"/>
      <c r="K779" s="194"/>
      <c r="L779" s="194"/>
      <c r="M779" s="194"/>
      <c r="N779" s="194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</row>
    <row r="780" ht="15.75" customHeight="1">
      <c r="A780" s="194"/>
      <c r="B780" s="195"/>
      <c r="C780" s="194"/>
      <c r="D780" s="194"/>
      <c r="E780" s="194"/>
      <c r="F780" s="194"/>
      <c r="G780" s="194"/>
      <c r="H780" s="194"/>
      <c r="I780" s="194"/>
      <c r="J780" s="194"/>
      <c r="K780" s="194"/>
      <c r="L780" s="194"/>
      <c r="M780" s="194"/>
      <c r="N780" s="194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</row>
    <row r="781" ht="15.75" customHeight="1">
      <c r="A781" s="194"/>
      <c r="B781" s="195"/>
      <c r="C781" s="194"/>
      <c r="D781" s="194"/>
      <c r="E781" s="194"/>
      <c r="F781" s="194"/>
      <c r="G781" s="194"/>
      <c r="H781" s="194"/>
      <c r="I781" s="194"/>
      <c r="J781" s="194"/>
      <c r="K781" s="194"/>
      <c r="L781" s="194"/>
      <c r="M781" s="194"/>
      <c r="N781" s="194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</row>
    <row r="782" ht="15.75" customHeight="1">
      <c r="A782" s="194"/>
      <c r="B782" s="195"/>
      <c r="C782" s="194"/>
      <c r="D782" s="194"/>
      <c r="E782" s="194"/>
      <c r="F782" s="194"/>
      <c r="G782" s="194"/>
      <c r="H782" s="194"/>
      <c r="I782" s="194"/>
      <c r="J782" s="194"/>
      <c r="K782" s="194"/>
      <c r="L782" s="194"/>
      <c r="M782" s="194"/>
      <c r="N782" s="194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</row>
    <row r="783" ht="15.75" customHeight="1">
      <c r="A783" s="194"/>
      <c r="B783" s="195"/>
      <c r="C783" s="194"/>
      <c r="D783" s="194"/>
      <c r="E783" s="194"/>
      <c r="F783" s="194"/>
      <c r="G783" s="194"/>
      <c r="H783" s="194"/>
      <c r="I783" s="194"/>
      <c r="J783" s="194"/>
      <c r="K783" s="194"/>
      <c r="L783" s="194"/>
      <c r="M783" s="194"/>
      <c r="N783" s="194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</row>
    <row r="784" ht="15.75" customHeight="1">
      <c r="A784" s="194"/>
      <c r="B784" s="195"/>
      <c r="C784" s="194"/>
      <c r="D784" s="194"/>
      <c r="E784" s="194"/>
      <c r="F784" s="194"/>
      <c r="G784" s="194"/>
      <c r="H784" s="194"/>
      <c r="I784" s="194"/>
      <c r="J784" s="194"/>
      <c r="K784" s="194"/>
      <c r="L784" s="194"/>
      <c r="M784" s="194"/>
      <c r="N784" s="194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</row>
    <row r="785" ht="15.75" customHeight="1">
      <c r="A785" s="194"/>
      <c r="B785" s="195"/>
      <c r="C785" s="194"/>
      <c r="D785" s="194"/>
      <c r="E785" s="194"/>
      <c r="F785" s="194"/>
      <c r="G785" s="194"/>
      <c r="H785" s="194"/>
      <c r="I785" s="194"/>
      <c r="J785" s="194"/>
      <c r="K785" s="194"/>
      <c r="L785" s="194"/>
      <c r="M785" s="194"/>
      <c r="N785" s="194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</row>
    <row r="786" ht="15.75" customHeight="1">
      <c r="A786" s="194"/>
      <c r="B786" s="195"/>
      <c r="C786" s="194"/>
      <c r="D786" s="194"/>
      <c r="E786" s="194"/>
      <c r="F786" s="194"/>
      <c r="G786" s="194"/>
      <c r="H786" s="194"/>
      <c r="I786" s="194"/>
      <c r="J786" s="194"/>
      <c r="K786" s="194"/>
      <c r="L786" s="194"/>
      <c r="M786" s="194"/>
      <c r="N786" s="194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</row>
    <row r="787" ht="15.75" customHeight="1">
      <c r="A787" s="194"/>
      <c r="B787" s="195"/>
      <c r="C787" s="194"/>
      <c r="D787" s="194"/>
      <c r="E787" s="194"/>
      <c r="F787" s="194"/>
      <c r="G787" s="194"/>
      <c r="H787" s="194"/>
      <c r="I787" s="194"/>
      <c r="J787" s="194"/>
      <c r="K787" s="194"/>
      <c r="L787" s="194"/>
      <c r="M787" s="194"/>
      <c r="N787" s="194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</row>
    <row r="788" ht="15.75" customHeight="1">
      <c r="A788" s="194"/>
      <c r="B788" s="195"/>
      <c r="C788" s="194"/>
      <c r="D788" s="194"/>
      <c r="E788" s="194"/>
      <c r="F788" s="194"/>
      <c r="G788" s="194"/>
      <c r="H788" s="194"/>
      <c r="I788" s="194"/>
      <c r="J788" s="194"/>
      <c r="K788" s="194"/>
      <c r="L788" s="194"/>
      <c r="M788" s="194"/>
      <c r="N788" s="194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</row>
    <row r="789" ht="15.75" customHeight="1">
      <c r="A789" s="194"/>
      <c r="B789" s="195"/>
      <c r="C789" s="194"/>
      <c r="D789" s="194"/>
      <c r="E789" s="194"/>
      <c r="F789" s="194"/>
      <c r="G789" s="194"/>
      <c r="H789" s="194"/>
      <c r="I789" s="194"/>
      <c r="J789" s="194"/>
      <c r="K789" s="194"/>
      <c r="L789" s="194"/>
      <c r="M789" s="194"/>
      <c r="N789" s="194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</row>
    <row r="790" ht="15.75" customHeight="1">
      <c r="A790" s="194"/>
      <c r="B790" s="195"/>
      <c r="C790" s="194"/>
      <c r="D790" s="194"/>
      <c r="E790" s="194"/>
      <c r="F790" s="194"/>
      <c r="G790" s="194"/>
      <c r="H790" s="194"/>
      <c r="I790" s="194"/>
      <c r="J790" s="194"/>
      <c r="K790" s="194"/>
      <c r="L790" s="194"/>
      <c r="M790" s="194"/>
      <c r="N790" s="194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</row>
    <row r="791" ht="15.75" customHeight="1">
      <c r="A791" s="194"/>
      <c r="B791" s="195"/>
      <c r="C791" s="194"/>
      <c r="D791" s="194"/>
      <c r="E791" s="194"/>
      <c r="F791" s="194"/>
      <c r="G791" s="194"/>
      <c r="H791" s="194"/>
      <c r="I791" s="194"/>
      <c r="J791" s="194"/>
      <c r="K791" s="194"/>
      <c r="L791" s="194"/>
      <c r="M791" s="194"/>
      <c r="N791" s="194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</row>
    <row r="792" ht="15.75" customHeight="1">
      <c r="A792" s="194"/>
      <c r="B792" s="195"/>
      <c r="C792" s="194"/>
      <c r="D792" s="194"/>
      <c r="E792" s="194"/>
      <c r="F792" s="194"/>
      <c r="G792" s="194"/>
      <c r="H792" s="194"/>
      <c r="I792" s="194"/>
      <c r="J792" s="194"/>
      <c r="K792" s="194"/>
      <c r="L792" s="194"/>
      <c r="M792" s="194"/>
      <c r="N792" s="194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</row>
    <row r="793" ht="15.75" customHeight="1">
      <c r="A793" s="194"/>
      <c r="B793" s="195"/>
      <c r="C793" s="194"/>
      <c r="D793" s="194"/>
      <c r="E793" s="194"/>
      <c r="F793" s="194"/>
      <c r="G793" s="194"/>
      <c r="H793" s="194"/>
      <c r="I793" s="194"/>
      <c r="J793" s="194"/>
      <c r="K793" s="194"/>
      <c r="L793" s="194"/>
      <c r="M793" s="194"/>
      <c r="N793" s="194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</row>
    <row r="794" ht="15.75" customHeight="1">
      <c r="A794" s="194"/>
      <c r="B794" s="195"/>
      <c r="C794" s="194"/>
      <c r="D794" s="194"/>
      <c r="E794" s="194"/>
      <c r="F794" s="194"/>
      <c r="G794" s="194"/>
      <c r="H794" s="194"/>
      <c r="I794" s="194"/>
      <c r="J794" s="194"/>
      <c r="K794" s="194"/>
      <c r="L794" s="194"/>
      <c r="M794" s="194"/>
      <c r="N794" s="194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</row>
    <row r="795" ht="15.75" customHeight="1">
      <c r="A795" s="194"/>
      <c r="B795" s="195"/>
      <c r="C795" s="194"/>
      <c r="D795" s="194"/>
      <c r="E795" s="194"/>
      <c r="F795" s="194"/>
      <c r="G795" s="194"/>
      <c r="H795" s="194"/>
      <c r="I795" s="194"/>
      <c r="J795" s="194"/>
      <c r="K795" s="194"/>
      <c r="L795" s="194"/>
      <c r="M795" s="194"/>
      <c r="N795" s="194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</row>
    <row r="796" ht="15.75" customHeight="1">
      <c r="A796" s="194"/>
      <c r="B796" s="195"/>
      <c r="C796" s="194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</row>
    <row r="797" ht="15.75" customHeight="1">
      <c r="A797" s="194"/>
      <c r="B797" s="195"/>
      <c r="C797" s="194"/>
      <c r="D797" s="194"/>
      <c r="E797" s="194"/>
      <c r="F797" s="194"/>
      <c r="G797" s="194"/>
      <c r="H797" s="194"/>
      <c r="I797" s="194"/>
      <c r="J797" s="194"/>
      <c r="K797" s="194"/>
      <c r="L797" s="194"/>
      <c r="M797" s="194"/>
      <c r="N797" s="194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</row>
    <row r="798" ht="15.75" customHeight="1">
      <c r="A798" s="194"/>
      <c r="B798" s="195"/>
      <c r="C798" s="194"/>
      <c r="D798" s="194"/>
      <c r="E798" s="194"/>
      <c r="F798" s="194"/>
      <c r="G798" s="194"/>
      <c r="H798" s="194"/>
      <c r="I798" s="194"/>
      <c r="J798" s="194"/>
      <c r="K798" s="194"/>
      <c r="L798" s="194"/>
      <c r="M798" s="194"/>
      <c r="N798" s="194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</row>
    <row r="799" ht="15.75" customHeight="1">
      <c r="A799" s="194"/>
      <c r="B799" s="195"/>
      <c r="C799" s="194"/>
      <c r="D799" s="194"/>
      <c r="E799" s="194"/>
      <c r="F799" s="194"/>
      <c r="G799" s="194"/>
      <c r="H799" s="194"/>
      <c r="I799" s="194"/>
      <c r="J799" s="194"/>
      <c r="K799" s="194"/>
      <c r="L799" s="194"/>
      <c r="M799" s="194"/>
      <c r="N799" s="194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</row>
    <row r="800" ht="15.75" customHeight="1">
      <c r="A800" s="194"/>
      <c r="B800" s="195"/>
      <c r="C800" s="194"/>
      <c r="D800" s="194"/>
      <c r="E800" s="194"/>
      <c r="F800" s="194"/>
      <c r="G800" s="194"/>
      <c r="H800" s="194"/>
      <c r="I800" s="194"/>
      <c r="J800" s="194"/>
      <c r="K800" s="194"/>
      <c r="L800" s="194"/>
      <c r="M800" s="194"/>
      <c r="N800" s="194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</row>
    <row r="801" ht="15.75" customHeight="1">
      <c r="A801" s="194"/>
      <c r="B801" s="195"/>
      <c r="C801" s="194"/>
      <c r="D801" s="194"/>
      <c r="E801" s="194"/>
      <c r="F801" s="194"/>
      <c r="G801" s="194"/>
      <c r="H801" s="194"/>
      <c r="I801" s="194"/>
      <c r="J801" s="194"/>
      <c r="K801" s="194"/>
      <c r="L801" s="194"/>
      <c r="M801" s="194"/>
      <c r="N801" s="194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</row>
    <row r="802" ht="15.75" customHeight="1">
      <c r="A802" s="194"/>
      <c r="B802" s="195"/>
      <c r="C802" s="194"/>
      <c r="D802" s="194"/>
      <c r="E802" s="194"/>
      <c r="F802" s="194"/>
      <c r="G802" s="194"/>
      <c r="H802" s="194"/>
      <c r="I802" s="194"/>
      <c r="J802" s="194"/>
      <c r="K802" s="194"/>
      <c r="L802" s="194"/>
      <c r="M802" s="194"/>
      <c r="N802" s="194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</row>
    <row r="803" ht="15.75" customHeight="1">
      <c r="A803" s="194"/>
      <c r="B803" s="195"/>
      <c r="C803" s="194"/>
      <c r="D803" s="194"/>
      <c r="E803" s="194"/>
      <c r="F803" s="194"/>
      <c r="G803" s="194"/>
      <c r="H803" s="194"/>
      <c r="I803" s="194"/>
      <c r="J803" s="194"/>
      <c r="K803" s="194"/>
      <c r="L803" s="194"/>
      <c r="M803" s="194"/>
      <c r="N803" s="194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</row>
    <row r="804" ht="15.75" customHeight="1">
      <c r="A804" s="194"/>
      <c r="B804" s="195"/>
      <c r="C804" s="194"/>
      <c r="D804" s="194"/>
      <c r="E804" s="194"/>
      <c r="F804" s="194"/>
      <c r="G804" s="194"/>
      <c r="H804" s="194"/>
      <c r="I804" s="194"/>
      <c r="J804" s="194"/>
      <c r="K804" s="194"/>
      <c r="L804" s="194"/>
      <c r="M804" s="194"/>
      <c r="N804" s="194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</row>
    <row r="805" ht="15.75" customHeight="1">
      <c r="A805" s="194"/>
      <c r="B805" s="195"/>
      <c r="C805" s="194"/>
      <c r="D805" s="194"/>
      <c r="E805" s="194"/>
      <c r="F805" s="194"/>
      <c r="G805" s="194"/>
      <c r="H805" s="194"/>
      <c r="I805" s="194"/>
      <c r="J805" s="194"/>
      <c r="K805" s="194"/>
      <c r="L805" s="194"/>
      <c r="M805" s="194"/>
      <c r="N805" s="194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</row>
    <row r="806" ht="15.75" customHeight="1">
      <c r="A806" s="194"/>
      <c r="B806" s="195"/>
      <c r="C806" s="194"/>
      <c r="D806" s="194"/>
      <c r="E806" s="194"/>
      <c r="F806" s="194"/>
      <c r="G806" s="194"/>
      <c r="H806" s="194"/>
      <c r="I806" s="194"/>
      <c r="J806" s="194"/>
      <c r="K806" s="194"/>
      <c r="L806" s="194"/>
      <c r="M806" s="194"/>
      <c r="N806" s="194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</row>
    <row r="807" ht="15.75" customHeight="1">
      <c r="A807" s="194"/>
      <c r="B807" s="195"/>
      <c r="C807" s="194"/>
      <c r="D807" s="194"/>
      <c r="E807" s="194"/>
      <c r="F807" s="194"/>
      <c r="G807" s="194"/>
      <c r="H807" s="194"/>
      <c r="I807" s="194"/>
      <c r="J807" s="194"/>
      <c r="K807" s="194"/>
      <c r="L807" s="194"/>
      <c r="M807" s="194"/>
      <c r="N807" s="194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</row>
    <row r="808" ht="15.75" customHeight="1">
      <c r="A808" s="194"/>
      <c r="B808" s="195"/>
      <c r="C808" s="194"/>
      <c r="D808" s="194"/>
      <c r="E808" s="194"/>
      <c r="F808" s="194"/>
      <c r="G808" s="194"/>
      <c r="H808" s="194"/>
      <c r="I808" s="194"/>
      <c r="J808" s="194"/>
      <c r="K808" s="194"/>
      <c r="L808" s="194"/>
      <c r="M808" s="194"/>
      <c r="N808" s="194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</row>
    <row r="809" ht="15.75" customHeight="1">
      <c r="A809" s="194"/>
      <c r="B809" s="195"/>
      <c r="C809" s="194"/>
      <c r="D809" s="194"/>
      <c r="E809" s="194"/>
      <c r="F809" s="194"/>
      <c r="G809" s="194"/>
      <c r="H809" s="194"/>
      <c r="I809" s="194"/>
      <c r="J809" s="194"/>
      <c r="K809" s="194"/>
      <c r="L809" s="194"/>
      <c r="M809" s="194"/>
      <c r="N809" s="194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</row>
    <row r="810" ht="15.75" customHeight="1">
      <c r="A810" s="194"/>
      <c r="B810" s="195"/>
      <c r="C810" s="194"/>
      <c r="D810" s="194"/>
      <c r="E810" s="194"/>
      <c r="F810" s="194"/>
      <c r="G810" s="194"/>
      <c r="H810" s="194"/>
      <c r="I810" s="194"/>
      <c r="J810" s="194"/>
      <c r="K810" s="194"/>
      <c r="L810" s="194"/>
      <c r="M810" s="194"/>
      <c r="N810" s="194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</row>
    <row r="811" ht="15.75" customHeight="1">
      <c r="A811" s="194"/>
      <c r="B811" s="195"/>
      <c r="C811" s="194"/>
      <c r="D811" s="194"/>
      <c r="E811" s="194"/>
      <c r="F811" s="194"/>
      <c r="G811" s="194"/>
      <c r="H811" s="194"/>
      <c r="I811" s="194"/>
      <c r="J811" s="194"/>
      <c r="K811" s="194"/>
      <c r="L811" s="194"/>
      <c r="M811" s="194"/>
      <c r="N811" s="194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</row>
    <row r="812" ht="15.75" customHeight="1">
      <c r="A812" s="194"/>
      <c r="B812" s="195"/>
      <c r="C812" s="194"/>
      <c r="D812" s="194"/>
      <c r="E812" s="194"/>
      <c r="F812" s="194"/>
      <c r="G812" s="194"/>
      <c r="H812" s="194"/>
      <c r="I812" s="194"/>
      <c r="J812" s="194"/>
      <c r="K812" s="194"/>
      <c r="L812" s="194"/>
      <c r="M812" s="194"/>
      <c r="N812" s="194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</row>
    <row r="813" ht="15.75" customHeight="1">
      <c r="A813" s="194"/>
      <c r="B813" s="195"/>
      <c r="C813" s="194"/>
      <c r="D813" s="194"/>
      <c r="E813" s="194"/>
      <c r="F813" s="194"/>
      <c r="G813" s="194"/>
      <c r="H813" s="194"/>
      <c r="I813" s="194"/>
      <c r="J813" s="194"/>
      <c r="K813" s="194"/>
      <c r="L813" s="194"/>
      <c r="M813" s="194"/>
      <c r="N813" s="194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</row>
    <row r="814" ht="15.75" customHeight="1">
      <c r="A814" s="194"/>
      <c r="B814" s="195"/>
      <c r="C814" s="194"/>
      <c r="D814" s="194"/>
      <c r="E814" s="194"/>
      <c r="F814" s="194"/>
      <c r="G814" s="194"/>
      <c r="H814" s="194"/>
      <c r="I814" s="194"/>
      <c r="J814" s="194"/>
      <c r="K814" s="194"/>
      <c r="L814" s="194"/>
      <c r="M814" s="194"/>
      <c r="N814" s="194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</row>
    <row r="815" ht="15.75" customHeight="1">
      <c r="A815" s="194"/>
      <c r="B815" s="195"/>
      <c r="C815" s="194"/>
      <c r="D815" s="194"/>
      <c r="E815" s="194"/>
      <c r="F815" s="194"/>
      <c r="G815" s="194"/>
      <c r="H815" s="194"/>
      <c r="I815" s="194"/>
      <c r="J815" s="194"/>
      <c r="K815" s="194"/>
      <c r="L815" s="194"/>
      <c r="M815" s="194"/>
      <c r="N815" s="194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</row>
    <row r="816" ht="15.75" customHeight="1">
      <c r="A816" s="194"/>
      <c r="B816" s="195"/>
      <c r="C816" s="194"/>
      <c r="D816" s="194"/>
      <c r="E816" s="194"/>
      <c r="F816" s="194"/>
      <c r="G816" s="194"/>
      <c r="H816" s="194"/>
      <c r="I816" s="194"/>
      <c r="J816" s="194"/>
      <c r="K816" s="194"/>
      <c r="L816" s="194"/>
      <c r="M816" s="194"/>
      <c r="N816" s="194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</row>
    <row r="817" ht="15.75" customHeight="1">
      <c r="A817" s="194"/>
      <c r="B817" s="195"/>
      <c r="C817" s="194"/>
      <c r="D817" s="194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</row>
    <row r="818" ht="15.75" customHeight="1">
      <c r="A818" s="194"/>
      <c r="B818" s="195"/>
      <c r="C818" s="194"/>
      <c r="D818" s="194"/>
      <c r="E818" s="194"/>
      <c r="F818" s="194"/>
      <c r="G818" s="194"/>
      <c r="H818" s="194"/>
      <c r="I818" s="194"/>
      <c r="J818" s="194"/>
      <c r="K818" s="194"/>
      <c r="L818" s="194"/>
      <c r="M818" s="194"/>
      <c r="N818" s="194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</row>
    <row r="819" ht="15.75" customHeight="1">
      <c r="A819" s="194"/>
      <c r="B819" s="195"/>
      <c r="C819" s="194"/>
      <c r="D819" s="194"/>
      <c r="E819" s="194"/>
      <c r="F819" s="194"/>
      <c r="G819" s="194"/>
      <c r="H819" s="194"/>
      <c r="I819" s="194"/>
      <c r="J819" s="194"/>
      <c r="K819" s="194"/>
      <c r="L819" s="194"/>
      <c r="M819" s="194"/>
      <c r="N819" s="194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</row>
    <row r="820" ht="15.75" customHeight="1">
      <c r="A820" s="194"/>
      <c r="B820" s="195"/>
      <c r="C820" s="194"/>
      <c r="D820" s="194"/>
      <c r="E820" s="194"/>
      <c r="F820" s="194"/>
      <c r="G820" s="194"/>
      <c r="H820" s="194"/>
      <c r="I820" s="194"/>
      <c r="J820" s="194"/>
      <c r="K820" s="194"/>
      <c r="L820" s="194"/>
      <c r="M820" s="194"/>
      <c r="N820" s="194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</row>
    <row r="821" ht="15.75" customHeight="1">
      <c r="A821" s="194"/>
      <c r="B821" s="195"/>
      <c r="C821" s="194"/>
      <c r="D821" s="194"/>
      <c r="E821" s="194"/>
      <c r="F821" s="194"/>
      <c r="G821" s="194"/>
      <c r="H821" s="194"/>
      <c r="I821" s="194"/>
      <c r="J821" s="194"/>
      <c r="K821" s="194"/>
      <c r="L821" s="194"/>
      <c r="M821" s="194"/>
      <c r="N821" s="194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</row>
    <row r="822" ht="15.75" customHeight="1">
      <c r="A822" s="194"/>
      <c r="B822" s="195"/>
      <c r="C822" s="194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</row>
    <row r="823" ht="15.75" customHeight="1">
      <c r="A823" s="194"/>
      <c r="B823" s="195"/>
      <c r="C823" s="194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</row>
    <row r="824" ht="15.75" customHeight="1">
      <c r="A824" s="194"/>
      <c r="B824" s="195"/>
      <c r="C824" s="194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</row>
    <row r="825" ht="15.75" customHeight="1">
      <c r="A825" s="194"/>
      <c r="B825" s="195"/>
      <c r="C825" s="194"/>
      <c r="D825" s="194"/>
      <c r="E825" s="194"/>
      <c r="F825" s="194"/>
      <c r="G825" s="194"/>
      <c r="H825" s="194"/>
      <c r="I825" s="194"/>
      <c r="J825" s="194"/>
      <c r="K825" s="194"/>
      <c r="L825" s="194"/>
      <c r="M825" s="194"/>
      <c r="N825" s="194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</row>
    <row r="826" ht="15.75" customHeight="1">
      <c r="A826" s="194"/>
      <c r="B826" s="195"/>
      <c r="C826" s="194"/>
      <c r="D826" s="194"/>
      <c r="E826" s="194"/>
      <c r="F826" s="194"/>
      <c r="G826" s="194"/>
      <c r="H826" s="194"/>
      <c r="I826" s="194"/>
      <c r="J826" s="194"/>
      <c r="K826" s="194"/>
      <c r="L826" s="194"/>
      <c r="M826" s="194"/>
      <c r="N826" s="194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</row>
    <row r="827" ht="15.75" customHeight="1">
      <c r="A827" s="194"/>
      <c r="B827" s="195"/>
      <c r="C827" s="194"/>
      <c r="D827" s="194"/>
      <c r="E827" s="194"/>
      <c r="F827" s="194"/>
      <c r="G827" s="194"/>
      <c r="H827" s="194"/>
      <c r="I827" s="194"/>
      <c r="J827" s="194"/>
      <c r="K827" s="194"/>
      <c r="L827" s="194"/>
      <c r="M827" s="194"/>
      <c r="N827" s="194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</row>
    <row r="828" ht="15.75" customHeight="1">
      <c r="A828" s="194"/>
      <c r="B828" s="195"/>
      <c r="C828" s="194"/>
      <c r="D828" s="194"/>
      <c r="E828" s="194"/>
      <c r="F828" s="194"/>
      <c r="G828" s="194"/>
      <c r="H828" s="194"/>
      <c r="I828" s="194"/>
      <c r="J828" s="194"/>
      <c r="K828" s="194"/>
      <c r="L828" s="194"/>
      <c r="M828" s="194"/>
      <c r="N828" s="194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</row>
    <row r="829" ht="15.75" customHeight="1">
      <c r="A829" s="194"/>
      <c r="B829" s="195"/>
      <c r="C829" s="194"/>
      <c r="D829" s="194"/>
      <c r="E829" s="194"/>
      <c r="F829" s="194"/>
      <c r="G829" s="194"/>
      <c r="H829" s="194"/>
      <c r="I829" s="194"/>
      <c r="J829" s="194"/>
      <c r="K829" s="194"/>
      <c r="L829" s="194"/>
      <c r="M829" s="194"/>
      <c r="N829" s="194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</row>
    <row r="830" ht="15.75" customHeight="1">
      <c r="A830" s="194"/>
      <c r="B830" s="195"/>
      <c r="C830" s="194"/>
      <c r="D830" s="194"/>
      <c r="E830" s="194"/>
      <c r="F830" s="194"/>
      <c r="G830" s="194"/>
      <c r="H830" s="194"/>
      <c r="I830" s="194"/>
      <c r="J830" s="194"/>
      <c r="K830" s="194"/>
      <c r="L830" s="194"/>
      <c r="M830" s="194"/>
      <c r="N830" s="194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</row>
    <row r="831" ht="15.75" customHeight="1">
      <c r="A831" s="194"/>
      <c r="B831" s="195"/>
      <c r="C831" s="194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</row>
    <row r="832" ht="15.75" customHeight="1">
      <c r="A832" s="194"/>
      <c r="B832" s="195"/>
      <c r="C832" s="194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</row>
    <row r="833" ht="15.75" customHeight="1">
      <c r="A833" s="194"/>
      <c r="B833" s="195"/>
      <c r="C833" s="194"/>
      <c r="D833" s="194"/>
      <c r="E833" s="194"/>
      <c r="F833" s="194"/>
      <c r="G833" s="194"/>
      <c r="H833" s="194"/>
      <c r="I833" s="194"/>
      <c r="J833" s="194"/>
      <c r="K833" s="194"/>
      <c r="L833" s="194"/>
      <c r="M833" s="194"/>
      <c r="N833" s="194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</row>
    <row r="834" ht="15.75" customHeight="1">
      <c r="A834" s="194"/>
      <c r="B834" s="195"/>
      <c r="C834" s="194"/>
      <c r="D834" s="194"/>
      <c r="E834" s="194"/>
      <c r="F834" s="194"/>
      <c r="G834" s="194"/>
      <c r="H834" s="194"/>
      <c r="I834" s="194"/>
      <c r="J834" s="194"/>
      <c r="K834" s="194"/>
      <c r="L834" s="194"/>
      <c r="M834" s="194"/>
      <c r="N834" s="194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</row>
    <row r="835" ht="15.75" customHeight="1">
      <c r="A835" s="194"/>
      <c r="B835" s="195"/>
      <c r="C835" s="194"/>
      <c r="D835" s="194"/>
      <c r="E835" s="194"/>
      <c r="F835" s="194"/>
      <c r="G835" s="194"/>
      <c r="H835" s="194"/>
      <c r="I835" s="194"/>
      <c r="J835" s="194"/>
      <c r="K835" s="194"/>
      <c r="L835" s="194"/>
      <c r="M835" s="194"/>
      <c r="N835" s="194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</row>
    <row r="836" ht="15.75" customHeight="1">
      <c r="A836" s="194"/>
      <c r="B836" s="195"/>
      <c r="C836" s="194"/>
      <c r="D836" s="194"/>
      <c r="E836" s="194"/>
      <c r="F836" s="194"/>
      <c r="G836" s="194"/>
      <c r="H836" s="194"/>
      <c r="I836" s="194"/>
      <c r="J836" s="194"/>
      <c r="K836" s="194"/>
      <c r="L836" s="194"/>
      <c r="M836" s="194"/>
      <c r="N836" s="194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</row>
    <row r="837" ht="15.75" customHeight="1">
      <c r="A837" s="194"/>
      <c r="B837" s="195"/>
      <c r="C837" s="194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</row>
    <row r="838" ht="15.75" customHeight="1">
      <c r="A838" s="194"/>
      <c r="B838" s="195"/>
      <c r="C838" s="194"/>
      <c r="D838" s="194"/>
      <c r="E838" s="194"/>
      <c r="F838" s="194"/>
      <c r="G838" s="194"/>
      <c r="H838" s="194"/>
      <c r="I838" s="194"/>
      <c r="J838" s="194"/>
      <c r="K838" s="194"/>
      <c r="L838" s="194"/>
      <c r="M838" s="194"/>
      <c r="N838" s="194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</row>
    <row r="839" ht="15.75" customHeight="1">
      <c r="A839" s="194"/>
      <c r="B839" s="195"/>
      <c r="C839" s="194"/>
      <c r="D839" s="194"/>
      <c r="E839" s="194"/>
      <c r="F839" s="194"/>
      <c r="G839" s="194"/>
      <c r="H839" s="194"/>
      <c r="I839" s="194"/>
      <c r="J839" s="194"/>
      <c r="K839" s="194"/>
      <c r="L839" s="194"/>
      <c r="M839" s="194"/>
      <c r="N839" s="194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</row>
    <row r="840" ht="15.75" customHeight="1">
      <c r="A840" s="194"/>
      <c r="B840" s="195"/>
      <c r="C840" s="194"/>
      <c r="D840" s="194"/>
      <c r="E840" s="194"/>
      <c r="F840" s="194"/>
      <c r="G840" s="194"/>
      <c r="H840" s="194"/>
      <c r="I840" s="194"/>
      <c r="J840" s="194"/>
      <c r="K840" s="194"/>
      <c r="L840" s="194"/>
      <c r="M840" s="194"/>
      <c r="N840" s="194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</row>
    <row r="841" ht="15.75" customHeight="1">
      <c r="A841" s="194"/>
      <c r="B841" s="195"/>
      <c r="C841" s="194"/>
      <c r="D841" s="194"/>
      <c r="E841" s="194"/>
      <c r="F841" s="194"/>
      <c r="G841" s="194"/>
      <c r="H841" s="194"/>
      <c r="I841" s="194"/>
      <c r="J841" s="194"/>
      <c r="K841" s="194"/>
      <c r="L841" s="194"/>
      <c r="M841" s="194"/>
      <c r="N841" s="194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</row>
    <row r="842" ht="15.75" customHeight="1">
      <c r="A842" s="194"/>
      <c r="B842" s="195"/>
      <c r="C842" s="194"/>
      <c r="D842" s="194"/>
      <c r="E842" s="194"/>
      <c r="F842" s="194"/>
      <c r="G842" s="194"/>
      <c r="H842" s="194"/>
      <c r="I842" s="194"/>
      <c r="J842" s="194"/>
      <c r="K842" s="194"/>
      <c r="L842" s="194"/>
      <c r="M842" s="194"/>
      <c r="N842" s="194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</row>
    <row r="843" ht="15.75" customHeight="1">
      <c r="A843" s="194"/>
      <c r="B843" s="195"/>
      <c r="C843" s="194"/>
      <c r="D843" s="194"/>
      <c r="E843" s="194"/>
      <c r="F843" s="194"/>
      <c r="G843" s="194"/>
      <c r="H843" s="194"/>
      <c r="I843" s="194"/>
      <c r="J843" s="194"/>
      <c r="K843" s="194"/>
      <c r="L843" s="194"/>
      <c r="M843" s="194"/>
      <c r="N843" s="194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</row>
    <row r="844" ht="15.75" customHeight="1">
      <c r="A844" s="194"/>
      <c r="B844" s="195"/>
      <c r="C844" s="194"/>
      <c r="D844" s="194"/>
      <c r="E844" s="194"/>
      <c r="F844" s="194"/>
      <c r="G844" s="194"/>
      <c r="H844" s="194"/>
      <c r="I844" s="194"/>
      <c r="J844" s="194"/>
      <c r="K844" s="194"/>
      <c r="L844" s="194"/>
      <c r="M844" s="194"/>
      <c r="N844" s="194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</row>
    <row r="845" ht="15.75" customHeight="1">
      <c r="A845" s="194"/>
      <c r="B845" s="195"/>
      <c r="C845" s="194"/>
      <c r="D845" s="194"/>
      <c r="E845" s="194"/>
      <c r="F845" s="194"/>
      <c r="G845" s="194"/>
      <c r="H845" s="194"/>
      <c r="I845" s="194"/>
      <c r="J845" s="194"/>
      <c r="K845" s="194"/>
      <c r="L845" s="194"/>
      <c r="M845" s="194"/>
      <c r="N845" s="194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</row>
    <row r="846" ht="15.75" customHeight="1">
      <c r="A846" s="194"/>
      <c r="B846" s="195"/>
      <c r="C846" s="194"/>
      <c r="D846" s="194"/>
      <c r="E846" s="194"/>
      <c r="F846" s="194"/>
      <c r="G846" s="194"/>
      <c r="H846" s="194"/>
      <c r="I846" s="194"/>
      <c r="J846" s="194"/>
      <c r="K846" s="194"/>
      <c r="L846" s="194"/>
      <c r="M846" s="194"/>
      <c r="N846" s="194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</row>
    <row r="847" ht="15.75" customHeight="1">
      <c r="A847" s="194"/>
      <c r="B847" s="195"/>
      <c r="C847" s="194"/>
      <c r="D847" s="194"/>
      <c r="E847" s="194"/>
      <c r="F847" s="194"/>
      <c r="G847" s="194"/>
      <c r="H847" s="194"/>
      <c r="I847" s="194"/>
      <c r="J847" s="194"/>
      <c r="K847" s="194"/>
      <c r="L847" s="194"/>
      <c r="M847" s="194"/>
      <c r="N847" s="194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</row>
    <row r="848" ht="15.75" customHeight="1">
      <c r="A848" s="194"/>
      <c r="B848" s="195"/>
      <c r="C848" s="194"/>
      <c r="D848" s="194"/>
      <c r="E848" s="194"/>
      <c r="F848" s="194"/>
      <c r="G848" s="194"/>
      <c r="H848" s="194"/>
      <c r="I848" s="194"/>
      <c r="J848" s="194"/>
      <c r="K848" s="194"/>
      <c r="L848" s="194"/>
      <c r="M848" s="194"/>
      <c r="N848" s="194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</row>
    <row r="849" ht="15.75" customHeight="1">
      <c r="A849" s="194"/>
      <c r="B849" s="195"/>
      <c r="C849" s="194"/>
      <c r="D849" s="194"/>
      <c r="E849" s="194"/>
      <c r="F849" s="194"/>
      <c r="G849" s="194"/>
      <c r="H849" s="194"/>
      <c r="I849" s="194"/>
      <c r="J849" s="194"/>
      <c r="K849" s="194"/>
      <c r="L849" s="194"/>
      <c r="M849" s="194"/>
      <c r="N849" s="194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</row>
    <row r="850" ht="15.75" customHeight="1">
      <c r="A850" s="194"/>
      <c r="B850" s="195"/>
      <c r="C850" s="194"/>
      <c r="D850" s="194"/>
      <c r="E850" s="194"/>
      <c r="F850" s="194"/>
      <c r="G850" s="194"/>
      <c r="H850" s="194"/>
      <c r="I850" s="194"/>
      <c r="J850" s="194"/>
      <c r="K850" s="194"/>
      <c r="L850" s="194"/>
      <c r="M850" s="194"/>
      <c r="N850" s="194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</row>
    <row r="851" ht="15.75" customHeight="1">
      <c r="A851" s="194"/>
      <c r="B851" s="195"/>
      <c r="C851" s="194"/>
      <c r="D851" s="194"/>
      <c r="E851" s="194"/>
      <c r="F851" s="194"/>
      <c r="G851" s="194"/>
      <c r="H851" s="194"/>
      <c r="I851" s="194"/>
      <c r="J851" s="194"/>
      <c r="K851" s="194"/>
      <c r="L851" s="194"/>
      <c r="M851" s="194"/>
      <c r="N851" s="194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</row>
    <row r="852" ht="15.75" customHeight="1">
      <c r="A852" s="194"/>
      <c r="B852" s="195"/>
      <c r="C852" s="194"/>
      <c r="D852" s="194"/>
      <c r="E852" s="194"/>
      <c r="F852" s="194"/>
      <c r="G852" s="194"/>
      <c r="H852" s="194"/>
      <c r="I852" s="194"/>
      <c r="J852" s="194"/>
      <c r="K852" s="194"/>
      <c r="L852" s="194"/>
      <c r="M852" s="194"/>
      <c r="N852" s="194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</row>
    <row r="853" ht="15.75" customHeight="1">
      <c r="A853" s="194"/>
      <c r="B853" s="195"/>
      <c r="C853" s="194"/>
      <c r="D853" s="194"/>
      <c r="E853" s="194"/>
      <c r="F853" s="194"/>
      <c r="G853" s="194"/>
      <c r="H853" s="194"/>
      <c r="I853" s="194"/>
      <c r="J853" s="194"/>
      <c r="K853" s="194"/>
      <c r="L853" s="194"/>
      <c r="M853" s="194"/>
      <c r="N853" s="194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</row>
    <row r="854" ht="15.75" customHeight="1">
      <c r="A854" s="194"/>
      <c r="B854" s="195"/>
      <c r="C854" s="194"/>
      <c r="D854" s="194"/>
      <c r="E854" s="194"/>
      <c r="F854" s="194"/>
      <c r="G854" s="194"/>
      <c r="H854" s="194"/>
      <c r="I854" s="194"/>
      <c r="J854" s="194"/>
      <c r="K854" s="194"/>
      <c r="L854" s="194"/>
      <c r="M854" s="194"/>
      <c r="N854" s="194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</row>
    <row r="855" ht="15.75" customHeight="1">
      <c r="A855" s="194"/>
      <c r="B855" s="195"/>
      <c r="C855" s="194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  <c r="N855" s="194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</row>
    <row r="856" ht="15.75" customHeight="1">
      <c r="A856" s="194"/>
      <c r="B856" s="195"/>
      <c r="C856" s="194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  <c r="N856" s="194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</row>
    <row r="857" ht="15.75" customHeight="1">
      <c r="A857" s="194"/>
      <c r="B857" s="195"/>
      <c r="C857" s="194"/>
      <c r="D857" s="194"/>
      <c r="E857" s="194"/>
      <c r="F857" s="194"/>
      <c r="G857" s="194"/>
      <c r="H857" s="194"/>
      <c r="I857" s="194"/>
      <c r="J857" s="194"/>
      <c r="K857" s="194"/>
      <c r="L857" s="194"/>
      <c r="M857" s="194"/>
      <c r="N857" s="194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</row>
    <row r="858" ht="15.75" customHeight="1">
      <c r="A858" s="194"/>
      <c r="B858" s="195"/>
      <c r="C858" s="194"/>
      <c r="D858" s="194"/>
      <c r="E858" s="194"/>
      <c r="F858" s="194"/>
      <c r="G858" s="194"/>
      <c r="H858" s="194"/>
      <c r="I858" s="194"/>
      <c r="J858" s="194"/>
      <c r="K858" s="194"/>
      <c r="L858" s="194"/>
      <c r="M858" s="194"/>
      <c r="N858" s="194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</row>
    <row r="859" ht="15.75" customHeight="1">
      <c r="A859" s="194"/>
      <c r="B859" s="195"/>
      <c r="C859" s="194"/>
      <c r="D859" s="194"/>
      <c r="E859" s="194"/>
      <c r="F859" s="194"/>
      <c r="G859" s="194"/>
      <c r="H859" s="194"/>
      <c r="I859" s="194"/>
      <c r="J859" s="194"/>
      <c r="K859" s="194"/>
      <c r="L859" s="194"/>
      <c r="M859" s="194"/>
      <c r="N859" s="194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</row>
    <row r="860" ht="15.75" customHeight="1">
      <c r="A860" s="194"/>
      <c r="B860" s="195"/>
      <c r="C860" s="194"/>
      <c r="D860" s="194"/>
      <c r="E860" s="194"/>
      <c r="F860" s="194"/>
      <c r="G860" s="194"/>
      <c r="H860" s="194"/>
      <c r="I860" s="194"/>
      <c r="J860" s="194"/>
      <c r="K860" s="194"/>
      <c r="L860" s="194"/>
      <c r="M860" s="194"/>
      <c r="N860" s="194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</row>
    <row r="861" ht="15.75" customHeight="1">
      <c r="A861" s="194"/>
      <c r="B861" s="195"/>
      <c r="C861" s="194"/>
      <c r="D861" s="194"/>
      <c r="E861" s="194"/>
      <c r="F861" s="194"/>
      <c r="G861" s="194"/>
      <c r="H861" s="194"/>
      <c r="I861" s="194"/>
      <c r="J861" s="194"/>
      <c r="K861" s="194"/>
      <c r="L861" s="194"/>
      <c r="M861" s="194"/>
      <c r="N861" s="194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</row>
    <row r="862" ht="15.75" customHeight="1">
      <c r="A862" s="194"/>
      <c r="B862" s="195"/>
      <c r="C862" s="194"/>
      <c r="D862" s="194"/>
      <c r="E862" s="194"/>
      <c r="F862" s="194"/>
      <c r="G862" s="194"/>
      <c r="H862" s="194"/>
      <c r="I862" s="194"/>
      <c r="J862" s="194"/>
      <c r="K862" s="194"/>
      <c r="L862" s="194"/>
      <c r="M862" s="194"/>
      <c r="N862" s="194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</row>
    <row r="863" ht="15.75" customHeight="1">
      <c r="A863" s="194"/>
      <c r="B863" s="195"/>
      <c r="C863" s="194"/>
      <c r="D863" s="194"/>
      <c r="E863" s="194"/>
      <c r="F863" s="194"/>
      <c r="G863" s="194"/>
      <c r="H863" s="194"/>
      <c r="I863" s="194"/>
      <c r="J863" s="194"/>
      <c r="K863" s="194"/>
      <c r="L863" s="194"/>
      <c r="M863" s="194"/>
      <c r="N863" s="194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</row>
    <row r="864" ht="15.75" customHeight="1">
      <c r="A864" s="194"/>
      <c r="B864" s="195"/>
      <c r="C864" s="194"/>
      <c r="D864" s="194"/>
      <c r="E864" s="194"/>
      <c r="F864" s="194"/>
      <c r="G864" s="194"/>
      <c r="H864" s="194"/>
      <c r="I864" s="194"/>
      <c r="J864" s="194"/>
      <c r="K864" s="194"/>
      <c r="L864" s="194"/>
      <c r="M864" s="194"/>
      <c r="N864" s="194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</row>
    <row r="865" ht="15.75" customHeight="1">
      <c r="A865" s="194"/>
      <c r="B865" s="195"/>
      <c r="C865" s="194"/>
      <c r="D865" s="194"/>
      <c r="E865" s="194"/>
      <c r="F865" s="194"/>
      <c r="G865" s="194"/>
      <c r="H865" s="194"/>
      <c r="I865" s="194"/>
      <c r="J865" s="194"/>
      <c r="K865" s="194"/>
      <c r="L865" s="194"/>
      <c r="M865" s="194"/>
      <c r="N865" s="194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</row>
    <row r="866" ht="15.75" customHeight="1">
      <c r="A866" s="194"/>
      <c r="B866" s="195"/>
      <c r="C866" s="194"/>
      <c r="D866" s="194"/>
      <c r="E866" s="194"/>
      <c r="F866" s="194"/>
      <c r="G866" s="194"/>
      <c r="H866" s="194"/>
      <c r="I866" s="194"/>
      <c r="J866" s="194"/>
      <c r="K866" s="194"/>
      <c r="L866" s="194"/>
      <c r="M866" s="194"/>
      <c r="N866" s="194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</row>
    <row r="867" ht="15.75" customHeight="1">
      <c r="A867" s="194"/>
      <c r="B867" s="195"/>
      <c r="C867" s="194"/>
      <c r="D867" s="194"/>
      <c r="E867" s="194"/>
      <c r="F867" s="194"/>
      <c r="G867" s="194"/>
      <c r="H867" s="194"/>
      <c r="I867" s="194"/>
      <c r="J867" s="194"/>
      <c r="K867" s="194"/>
      <c r="L867" s="194"/>
      <c r="M867" s="194"/>
      <c r="N867" s="194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</row>
    <row r="868" ht="15.75" customHeight="1">
      <c r="A868" s="194"/>
      <c r="B868" s="195"/>
      <c r="C868" s="194"/>
      <c r="D868" s="194"/>
      <c r="E868" s="194"/>
      <c r="F868" s="194"/>
      <c r="G868" s="194"/>
      <c r="H868" s="194"/>
      <c r="I868" s="194"/>
      <c r="J868" s="194"/>
      <c r="K868" s="194"/>
      <c r="L868" s="194"/>
      <c r="M868" s="194"/>
      <c r="N868" s="194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</row>
    <row r="869" ht="15.75" customHeight="1">
      <c r="A869" s="194"/>
      <c r="B869" s="195"/>
      <c r="C869" s="194"/>
      <c r="D869" s="194"/>
      <c r="E869" s="194"/>
      <c r="F869" s="194"/>
      <c r="G869" s="194"/>
      <c r="H869" s="194"/>
      <c r="I869" s="194"/>
      <c r="J869" s="194"/>
      <c r="K869" s="194"/>
      <c r="L869" s="194"/>
      <c r="M869" s="194"/>
      <c r="N869" s="194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</row>
    <row r="870" ht="15.75" customHeight="1">
      <c r="A870" s="194"/>
      <c r="B870" s="195"/>
      <c r="C870" s="194"/>
      <c r="D870" s="194"/>
      <c r="E870" s="194"/>
      <c r="F870" s="194"/>
      <c r="G870" s="194"/>
      <c r="H870" s="194"/>
      <c r="I870" s="194"/>
      <c r="J870" s="194"/>
      <c r="K870" s="194"/>
      <c r="L870" s="194"/>
      <c r="M870" s="194"/>
      <c r="N870" s="194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</row>
    <row r="871" ht="15.75" customHeight="1">
      <c r="A871" s="194"/>
      <c r="B871" s="195"/>
      <c r="C871" s="194"/>
      <c r="D871" s="194"/>
      <c r="E871" s="194"/>
      <c r="F871" s="194"/>
      <c r="G871" s="194"/>
      <c r="H871" s="194"/>
      <c r="I871" s="194"/>
      <c r="J871" s="194"/>
      <c r="K871" s="194"/>
      <c r="L871" s="194"/>
      <c r="M871" s="194"/>
      <c r="N871" s="194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</row>
    <row r="872" ht="15.75" customHeight="1">
      <c r="A872" s="194"/>
      <c r="B872" s="195"/>
      <c r="C872" s="194"/>
      <c r="D872" s="194"/>
      <c r="E872" s="194"/>
      <c r="F872" s="194"/>
      <c r="G872" s="194"/>
      <c r="H872" s="194"/>
      <c r="I872" s="194"/>
      <c r="J872" s="194"/>
      <c r="K872" s="194"/>
      <c r="L872" s="194"/>
      <c r="M872" s="194"/>
      <c r="N872" s="194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</row>
    <row r="873" ht="15.75" customHeight="1">
      <c r="A873" s="194"/>
      <c r="B873" s="195"/>
      <c r="C873" s="194"/>
      <c r="D873" s="194"/>
      <c r="E873" s="194"/>
      <c r="F873" s="194"/>
      <c r="G873" s="194"/>
      <c r="H873" s="194"/>
      <c r="I873" s="194"/>
      <c r="J873" s="194"/>
      <c r="K873" s="194"/>
      <c r="L873" s="194"/>
      <c r="M873" s="194"/>
      <c r="N873" s="194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</row>
    <row r="874" ht="15.75" customHeight="1">
      <c r="A874" s="194"/>
      <c r="B874" s="195"/>
      <c r="C874" s="194"/>
      <c r="D874" s="194"/>
      <c r="E874" s="194"/>
      <c r="F874" s="194"/>
      <c r="G874" s="194"/>
      <c r="H874" s="194"/>
      <c r="I874" s="194"/>
      <c r="J874" s="194"/>
      <c r="K874" s="194"/>
      <c r="L874" s="194"/>
      <c r="M874" s="194"/>
      <c r="N874" s="194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</row>
    <row r="875" ht="15.75" customHeight="1">
      <c r="A875" s="194"/>
      <c r="B875" s="195"/>
      <c r="C875" s="194"/>
      <c r="D875" s="194"/>
      <c r="E875" s="194"/>
      <c r="F875" s="194"/>
      <c r="G875" s="194"/>
      <c r="H875" s="194"/>
      <c r="I875" s="194"/>
      <c r="J875" s="194"/>
      <c r="K875" s="194"/>
      <c r="L875" s="194"/>
      <c r="M875" s="194"/>
      <c r="N875" s="194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</row>
    <row r="876" ht="15.75" customHeight="1">
      <c r="A876" s="194"/>
      <c r="B876" s="195"/>
      <c r="C876" s="194"/>
      <c r="D876" s="194"/>
      <c r="E876" s="194"/>
      <c r="F876" s="194"/>
      <c r="G876" s="194"/>
      <c r="H876" s="194"/>
      <c r="I876" s="194"/>
      <c r="J876" s="194"/>
      <c r="K876" s="194"/>
      <c r="L876" s="194"/>
      <c r="M876" s="194"/>
      <c r="N876" s="194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</row>
    <row r="877" ht="15.75" customHeight="1">
      <c r="A877" s="194"/>
      <c r="B877" s="195"/>
      <c r="C877" s="194"/>
      <c r="D877" s="194"/>
      <c r="E877" s="194"/>
      <c r="F877" s="194"/>
      <c r="G877" s="194"/>
      <c r="H877" s="194"/>
      <c r="I877" s="194"/>
      <c r="J877" s="194"/>
      <c r="K877" s="194"/>
      <c r="L877" s="194"/>
      <c r="M877" s="194"/>
      <c r="N877" s="194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</row>
    <row r="878" ht="15.75" customHeight="1">
      <c r="A878" s="194"/>
      <c r="B878" s="195"/>
      <c r="C878" s="194"/>
      <c r="D878" s="194"/>
      <c r="E878" s="194"/>
      <c r="F878" s="194"/>
      <c r="G878" s="194"/>
      <c r="H878" s="194"/>
      <c r="I878" s="194"/>
      <c r="J878" s="194"/>
      <c r="K878" s="194"/>
      <c r="L878" s="194"/>
      <c r="M878" s="194"/>
      <c r="N878" s="194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</row>
    <row r="879" ht="15.75" customHeight="1">
      <c r="A879" s="194"/>
      <c r="B879" s="195"/>
      <c r="C879" s="194"/>
      <c r="D879" s="194"/>
      <c r="E879" s="194"/>
      <c r="F879" s="194"/>
      <c r="G879" s="194"/>
      <c r="H879" s="194"/>
      <c r="I879" s="194"/>
      <c r="J879" s="194"/>
      <c r="K879" s="194"/>
      <c r="L879" s="194"/>
      <c r="M879" s="194"/>
      <c r="N879" s="194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</row>
    <row r="880" ht="15.75" customHeight="1">
      <c r="A880" s="194"/>
      <c r="B880" s="195"/>
      <c r="C880" s="194"/>
      <c r="D880" s="194"/>
      <c r="E880" s="194"/>
      <c r="F880" s="194"/>
      <c r="G880" s="194"/>
      <c r="H880" s="194"/>
      <c r="I880" s="194"/>
      <c r="J880" s="194"/>
      <c r="K880" s="194"/>
      <c r="L880" s="194"/>
      <c r="M880" s="194"/>
      <c r="N880" s="194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</row>
    <row r="881" ht="15.75" customHeight="1">
      <c r="A881" s="194"/>
      <c r="B881" s="195"/>
      <c r="C881" s="194"/>
      <c r="D881" s="194"/>
      <c r="E881" s="194"/>
      <c r="F881" s="194"/>
      <c r="G881" s="194"/>
      <c r="H881" s="194"/>
      <c r="I881" s="194"/>
      <c r="J881" s="194"/>
      <c r="K881" s="194"/>
      <c r="L881" s="194"/>
      <c r="M881" s="194"/>
      <c r="N881" s="194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</row>
    <row r="882" ht="15.75" customHeight="1">
      <c r="A882" s="194"/>
      <c r="B882" s="195"/>
      <c r="C882" s="194"/>
      <c r="D882" s="194"/>
      <c r="E882" s="194"/>
      <c r="F882" s="194"/>
      <c r="G882" s="194"/>
      <c r="H882" s="194"/>
      <c r="I882" s="194"/>
      <c r="J882" s="194"/>
      <c r="K882" s="194"/>
      <c r="L882" s="194"/>
      <c r="M882" s="194"/>
      <c r="N882" s="194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</row>
    <row r="883" ht="15.75" customHeight="1">
      <c r="A883" s="194"/>
      <c r="B883" s="195"/>
      <c r="C883" s="194"/>
      <c r="D883" s="194"/>
      <c r="E883" s="194"/>
      <c r="F883" s="194"/>
      <c r="G883" s="194"/>
      <c r="H883" s="194"/>
      <c r="I883" s="194"/>
      <c r="J883" s="194"/>
      <c r="K883" s="194"/>
      <c r="L883" s="194"/>
      <c r="M883" s="194"/>
      <c r="N883" s="194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</row>
    <row r="884" ht="15.75" customHeight="1">
      <c r="A884" s="194"/>
      <c r="B884" s="195"/>
      <c r="C884" s="194"/>
      <c r="D884" s="194"/>
      <c r="E884" s="194"/>
      <c r="F884" s="194"/>
      <c r="G884" s="194"/>
      <c r="H884" s="194"/>
      <c r="I884" s="194"/>
      <c r="J884" s="194"/>
      <c r="K884" s="194"/>
      <c r="L884" s="194"/>
      <c r="M884" s="194"/>
      <c r="N884" s="194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</row>
    <row r="885" ht="15.75" customHeight="1">
      <c r="A885" s="194"/>
      <c r="B885" s="195"/>
      <c r="C885" s="194"/>
      <c r="D885" s="194"/>
      <c r="E885" s="194"/>
      <c r="F885" s="194"/>
      <c r="G885" s="194"/>
      <c r="H885" s="194"/>
      <c r="I885" s="194"/>
      <c r="J885" s="194"/>
      <c r="K885" s="194"/>
      <c r="L885" s="194"/>
      <c r="M885" s="194"/>
      <c r="N885" s="194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</row>
    <row r="886" ht="15.75" customHeight="1">
      <c r="A886" s="194"/>
      <c r="B886" s="195"/>
      <c r="C886" s="194"/>
      <c r="D886" s="194"/>
      <c r="E886" s="194"/>
      <c r="F886" s="194"/>
      <c r="G886" s="194"/>
      <c r="H886" s="194"/>
      <c r="I886" s="194"/>
      <c r="J886" s="194"/>
      <c r="K886" s="194"/>
      <c r="L886" s="194"/>
      <c r="M886" s="194"/>
      <c r="N886" s="194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</row>
    <row r="887" ht="15.75" customHeight="1">
      <c r="A887" s="194"/>
      <c r="B887" s="195"/>
      <c r="C887" s="194"/>
      <c r="D887" s="194"/>
      <c r="E887" s="194"/>
      <c r="F887" s="194"/>
      <c r="G887" s="194"/>
      <c r="H887" s="194"/>
      <c r="I887" s="194"/>
      <c r="J887" s="194"/>
      <c r="K887" s="194"/>
      <c r="L887" s="194"/>
      <c r="M887" s="194"/>
      <c r="N887" s="194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</row>
    <row r="888" ht="15.75" customHeight="1">
      <c r="A888" s="194"/>
      <c r="B888" s="195"/>
      <c r="C888" s="194"/>
      <c r="D888" s="194"/>
      <c r="E888" s="194"/>
      <c r="F888" s="194"/>
      <c r="G888" s="194"/>
      <c r="H888" s="194"/>
      <c r="I888" s="194"/>
      <c r="J888" s="194"/>
      <c r="K888" s="194"/>
      <c r="L888" s="194"/>
      <c r="M888" s="194"/>
      <c r="N888" s="194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</row>
    <row r="889" ht="15.75" customHeight="1">
      <c r="A889" s="194"/>
      <c r="B889" s="195"/>
      <c r="C889" s="194"/>
      <c r="D889" s="194"/>
      <c r="E889" s="194"/>
      <c r="F889" s="194"/>
      <c r="G889" s="194"/>
      <c r="H889" s="194"/>
      <c r="I889" s="194"/>
      <c r="J889" s="194"/>
      <c r="K889" s="194"/>
      <c r="L889" s="194"/>
      <c r="M889" s="194"/>
      <c r="N889" s="194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</row>
    <row r="890" ht="15.75" customHeight="1">
      <c r="A890" s="194"/>
      <c r="B890" s="195"/>
      <c r="C890" s="194"/>
      <c r="D890" s="194"/>
      <c r="E890" s="194"/>
      <c r="F890" s="194"/>
      <c r="G890" s="194"/>
      <c r="H890" s="194"/>
      <c r="I890" s="194"/>
      <c r="J890" s="194"/>
      <c r="K890" s="194"/>
      <c r="L890" s="194"/>
      <c r="M890" s="194"/>
      <c r="N890" s="194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</row>
    <row r="891" ht="15.75" customHeight="1">
      <c r="A891" s="194"/>
      <c r="B891" s="195"/>
      <c r="C891" s="194"/>
      <c r="D891" s="194"/>
      <c r="E891" s="194"/>
      <c r="F891" s="194"/>
      <c r="G891" s="194"/>
      <c r="H891" s="194"/>
      <c r="I891" s="194"/>
      <c r="J891" s="194"/>
      <c r="K891" s="194"/>
      <c r="L891" s="194"/>
      <c r="M891" s="194"/>
      <c r="N891" s="194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</row>
    <row r="892" ht="15.75" customHeight="1">
      <c r="A892" s="194"/>
      <c r="B892" s="195"/>
      <c r="C892" s="194"/>
      <c r="D892" s="194"/>
      <c r="E892" s="194"/>
      <c r="F892" s="194"/>
      <c r="G892" s="194"/>
      <c r="H892" s="194"/>
      <c r="I892" s="194"/>
      <c r="J892" s="194"/>
      <c r="K892" s="194"/>
      <c r="L892" s="194"/>
      <c r="M892" s="194"/>
      <c r="N892" s="194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</row>
    <row r="893" ht="15.75" customHeight="1">
      <c r="A893" s="194"/>
      <c r="B893" s="195"/>
      <c r="C893" s="194"/>
      <c r="D893" s="194"/>
      <c r="E893" s="194"/>
      <c r="F893" s="194"/>
      <c r="G893" s="194"/>
      <c r="H893" s="194"/>
      <c r="I893" s="194"/>
      <c r="J893" s="194"/>
      <c r="K893" s="194"/>
      <c r="L893" s="194"/>
      <c r="M893" s="194"/>
      <c r="N893" s="194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</row>
    <row r="894" ht="15.75" customHeight="1">
      <c r="A894" s="194"/>
      <c r="B894" s="195"/>
      <c r="C894" s="194"/>
      <c r="D894" s="194"/>
      <c r="E894" s="194"/>
      <c r="F894" s="194"/>
      <c r="G894" s="194"/>
      <c r="H894" s="194"/>
      <c r="I894" s="194"/>
      <c r="J894" s="194"/>
      <c r="K894" s="194"/>
      <c r="L894" s="194"/>
      <c r="M894" s="194"/>
      <c r="N894" s="194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</row>
    <row r="895" ht="15.75" customHeight="1">
      <c r="A895" s="194"/>
      <c r="B895" s="195"/>
      <c r="C895" s="194"/>
      <c r="D895" s="194"/>
      <c r="E895" s="194"/>
      <c r="F895" s="194"/>
      <c r="G895" s="194"/>
      <c r="H895" s="194"/>
      <c r="I895" s="194"/>
      <c r="J895" s="194"/>
      <c r="K895" s="194"/>
      <c r="L895" s="194"/>
      <c r="M895" s="194"/>
      <c r="N895" s="194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</row>
    <row r="896" ht="15.75" customHeight="1">
      <c r="A896" s="194"/>
      <c r="B896" s="195"/>
      <c r="C896" s="194"/>
      <c r="D896" s="194"/>
      <c r="E896" s="194"/>
      <c r="F896" s="194"/>
      <c r="G896" s="194"/>
      <c r="H896" s="194"/>
      <c r="I896" s="194"/>
      <c r="J896" s="194"/>
      <c r="K896" s="194"/>
      <c r="L896" s="194"/>
      <c r="M896" s="194"/>
      <c r="N896" s="194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</row>
    <row r="897" ht="15.75" customHeight="1">
      <c r="A897" s="194"/>
      <c r="B897" s="195"/>
      <c r="C897" s="194"/>
      <c r="D897" s="194"/>
      <c r="E897" s="194"/>
      <c r="F897" s="194"/>
      <c r="G897" s="194"/>
      <c r="H897" s="194"/>
      <c r="I897" s="194"/>
      <c r="J897" s="194"/>
      <c r="K897" s="194"/>
      <c r="L897" s="194"/>
      <c r="M897" s="194"/>
      <c r="N897" s="194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</row>
    <row r="898" ht="15.75" customHeight="1">
      <c r="A898" s="194"/>
      <c r="B898" s="195"/>
      <c r="C898" s="194"/>
      <c r="D898" s="194"/>
      <c r="E898" s="194"/>
      <c r="F898" s="194"/>
      <c r="G898" s="194"/>
      <c r="H898" s="194"/>
      <c r="I898" s="194"/>
      <c r="J898" s="194"/>
      <c r="K898" s="194"/>
      <c r="L898" s="194"/>
      <c r="M898" s="194"/>
      <c r="N898" s="194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</row>
    <row r="899" ht="15.75" customHeight="1">
      <c r="A899" s="194"/>
      <c r="B899" s="195"/>
      <c r="C899" s="194"/>
      <c r="D899" s="194"/>
      <c r="E899" s="194"/>
      <c r="F899" s="194"/>
      <c r="G899" s="194"/>
      <c r="H899" s="194"/>
      <c r="I899" s="194"/>
      <c r="J899" s="194"/>
      <c r="K899" s="194"/>
      <c r="L899" s="194"/>
      <c r="M899" s="194"/>
      <c r="N899" s="194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</row>
    <row r="900" ht="15.75" customHeight="1">
      <c r="A900" s="194"/>
      <c r="B900" s="195"/>
      <c r="C900" s="194"/>
      <c r="D900" s="194"/>
      <c r="E900" s="194"/>
      <c r="F900" s="194"/>
      <c r="G900" s="194"/>
      <c r="H900" s="194"/>
      <c r="I900" s="194"/>
      <c r="J900" s="194"/>
      <c r="K900" s="194"/>
      <c r="L900" s="194"/>
      <c r="M900" s="194"/>
      <c r="N900" s="194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</row>
    <row r="901" ht="15.75" customHeight="1">
      <c r="A901" s="194"/>
      <c r="B901" s="195"/>
      <c r="C901" s="194"/>
      <c r="D901" s="194"/>
      <c r="E901" s="194"/>
      <c r="F901" s="194"/>
      <c r="G901" s="194"/>
      <c r="H901" s="194"/>
      <c r="I901" s="194"/>
      <c r="J901" s="194"/>
      <c r="K901" s="194"/>
      <c r="L901" s="194"/>
      <c r="M901" s="194"/>
      <c r="N901" s="194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</row>
    <row r="902" ht="15.75" customHeight="1">
      <c r="A902" s="194"/>
      <c r="B902" s="195"/>
      <c r="C902" s="194"/>
      <c r="D902" s="194"/>
      <c r="E902" s="194"/>
      <c r="F902" s="194"/>
      <c r="G902" s="194"/>
      <c r="H902" s="194"/>
      <c r="I902" s="194"/>
      <c r="J902" s="194"/>
      <c r="K902" s="194"/>
      <c r="L902" s="194"/>
      <c r="M902" s="194"/>
      <c r="N902" s="194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</row>
    <row r="903" ht="15.75" customHeight="1">
      <c r="A903" s="194"/>
      <c r="B903" s="195"/>
      <c r="C903" s="194"/>
      <c r="D903" s="194"/>
      <c r="E903" s="194"/>
      <c r="F903" s="194"/>
      <c r="G903" s="194"/>
      <c r="H903" s="194"/>
      <c r="I903" s="194"/>
      <c r="J903" s="194"/>
      <c r="K903" s="194"/>
      <c r="L903" s="194"/>
      <c r="M903" s="194"/>
      <c r="N903" s="194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</row>
    <row r="904" ht="15.75" customHeight="1">
      <c r="A904" s="194"/>
      <c r="B904" s="195"/>
      <c r="C904" s="194"/>
      <c r="D904" s="194"/>
      <c r="E904" s="194"/>
      <c r="F904" s="194"/>
      <c r="G904" s="194"/>
      <c r="H904" s="194"/>
      <c r="I904" s="194"/>
      <c r="J904" s="194"/>
      <c r="K904" s="194"/>
      <c r="L904" s="194"/>
      <c r="M904" s="194"/>
      <c r="N904" s="194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</row>
    <row r="905" ht="15.75" customHeight="1">
      <c r="A905" s="194"/>
      <c r="B905" s="195"/>
      <c r="C905" s="194"/>
      <c r="D905" s="194"/>
      <c r="E905" s="194"/>
      <c r="F905" s="194"/>
      <c r="G905" s="194"/>
      <c r="H905" s="194"/>
      <c r="I905" s="194"/>
      <c r="J905" s="194"/>
      <c r="K905" s="194"/>
      <c r="L905" s="194"/>
      <c r="M905" s="194"/>
      <c r="N905" s="194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</row>
    <row r="906" ht="15.75" customHeight="1">
      <c r="A906" s="194"/>
      <c r="B906" s="195"/>
      <c r="C906" s="194"/>
      <c r="D906" s="194"/>
      <c r="E906" s="194"/>
      <c r="F906" s="194"/>
      <c r="G906" s="194"/>
      <c r="H906" s="194"/>
      <c r="I906" s="194"/>
      <c r="J906" s="194"/>
      <c r="K906" s="194"/>
      <c r="L906" s="194"/>
      <c r="M906" s="194"/>
      <c r="N906" s="194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</row>
    <row r="907" ht="15.75" customHeight="1">
      <c r="A907" s="194"/>
      <c r="B907" s="195"/>
      <c r="C907" s="194"/>
      <c r="D907" s="194"/>
      <c r="E907" s="194"/>
      <c r="F907" s="194"/>
      <c r="G907" s="194"/>
      <c r="H907" s="194"/>
      <c r="I907" s="194"/>
      <c r="J907" s="194"/>
      <c r="K907" s="194"/>
      <c r="L907" s="194"/>
      <c r="M907" s="194"/>
      <c r="N907" s="194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</row>
    <row r="908" ht="15.75" customHeight="1">
      <c r="A908" s="194"/>
      <c r="B908" s="195"/>
      <c r="C908" s="194"/>
      <c r="D908" s="194"/>
      <c r="E908" s="194"/>
      <c r="F908" s="194"/>
      <c r="G908" s="194"/>
      <c r="H908" s="194"/>
      <c r="I908" s="194"/>
      <c r="J908" s="194"/>
      <c r="K908" s="194"/>
      <c r="L908" s="194"/>
      <c r="M908" s="194"/>
      <c r="N908" s="194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</row>
    <row r="909" ht="15.75" customHeight="1">
      <c r="A909" s="194"/>
      <c r="B909" s="195"/>
      <c r="C909" s="194"/>
      <c r="D909" s="194"/>
      <c r="E909" s="194"/>
      <c r="F909" s="194"/>
      <c r="G909" s="194"/>
      <c r="H909" s="194"/>
      <c r="I909" s="194"/>
      <c r="J909" s="194"/>
      <c r="K909" s="194"/>
      <c r="L909" s="194"/>
      <c r="M909" s="194"/>
      <c r="N909" s="194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</row>
    <row r="910" ht="15.75" customHeight="1">
      <c r="A910" s="194"/>
      <c r="B910" s="195"/>
      <c r="C910" s="194"/>
      <c r="D910" s="194"/>
      <c r="E910" s="194"/>
      <c r="F910" s="194"/>
      <c r="G910" s="194"/>
      <c r="H910" s="194"/>
      <c r="I910" s="194"/>
      <c r="J910" s="194"/>
      <c r="K910" s="194"/>
      <c r="L910" s="194"/>
      <c r="M910" s="194"/>
      <c r="N910" s="194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</row>
    <row r="911" ht="15.75" customHeight="1">
      <c r="A911" s="194"/>
      <c r="B911" s="195"/>
      <c r="C911" s="194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</row>
    <row r="912" ht="15.75" customHeight="1">
      <c r="A912" s="194"/>
      <c r="B912" s="195"/>
      <c r="C912" s="194"/>
      <c r="D912" s="194"/>
      <c r="E912" s="194"/>
      <c r="F912" s="194"/>
      <c r="G912" s="194"/>
      <c r="H912" s="194"/>
      <c r="I912" s="194"/>
      <c r="J912" s="194"/>
      <c r="K912" s="194"/>
      <c r="L912" s="194"/>
      <c r="M912" s="194"/>
      <c r="N912" s="194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</row>
    <row r="913" ht="15.75" customHeight="1">
      <c r="A913" s="194"/>
      <c r="B913" s="195"/>
      <c r="C913" s="194"/>
      <c r="D913" s="194"/>
      <c r="E913" s="194"/>
      <c r="F913" s="194"/>
      <c r="G913" s="194"/>
      <c r="H913" s="194"/>
      <c r="I913" s="194"/>
      <c r="J913" s="194"/>
      <c r="K913" s="194"/>
      <c r="L913" s="194"/>
      <c r="M913" s="194"/>
      <c r="N913" s="194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</row>
    <row r="914" ht="15.75" customHeight="1">
      <c r="A914" s="194"/>
      <c r="B914" s="195"/>
      <c r="C914" s="194"/>
      <c r="D914" s="194"/>
      <c r="E914" s="194"/>
      <c r="F914" s="194"/>
      <c r="G914" s="194"/>
      <c r="H914" s="194"/>
      <c r="I914" s="194"/>
      <c r="J914" s="194"/>
      <c r="K914" s="194"/>
      <c r="L914" s="194"/>
      <c r="M914" s="194"/>
      <c r="N914" s="194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</row>
    <row r="915" ht="15.75" customHeight="1">
      <c r="A915" s="194"/>
      <c r="B915" s="195"/>
      <c r="C915" s="194"/>
      <c r="D915" s="194"/>
      <c r="E915" s="194"/>
      <c r="F915" s="194"/>
      <c r="G915" s="194"/>
      <c r="H915" s="194"/>
      <c r="I915" s="194"/>
      <c r="J915" s="194"/>
      <c r="K915" s="194"/>
      <c r="L915" s="194"/>
      <c r="M915" s="194"/>
      <c r="N915" s="194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</row>
    <row r="916" ht="15.75" customHeight="1">
      <c r="A916" s="194"/>
      <c r="B916" s="195"/>
      <c r="C916" s="194"/>
      <c r="D916" s="194"/>
      <c r="E916" s="194"/>
      <c r="F916" s="194"/>
      <c r="G916" s="194"/>
      <c r="H916" s="194"/>
      <c r="I916" s="194"/>
      <c r="J916" s="194"/>
      <c r="K916" s="194"/>
      <c r="L916" s="194"/>
      <c r="M916" s="194"/>
      <c r="N916" s="194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</row>
    <row r="917" ht="15.75" customHeight="1">
      <c r="A917" s="194"/>
      <c r="B917" s="195"/>
      <c r="C917" s="194"/>
      <c r="D917" s="194"/>
      <c r="E917" s="194"/>
      <c r="F917" s="194"/>
      <c r="G917" s="194"/>
      <c r="H917" s="194"/>
      <c r="I917" s="194"/>
      <c r="J917" s="194"/>
      <c r="K917" s="194"/>
      <c r="L917" s="194"/>
      <c r="M917" s="194"/>
      <c r="N917" s="194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</row>
    <row r="918" ht="15.75" customHeight="1">
      <c r="A918" s="194"/>
      <c r="B918" s="195"/>
      <c r="C918" s="194"/>
      <c r="D918" s="194"/>
      <c r="E918" s="194"/>
      <c r="F918" s="194"/>
      <c r="G918" s="194"/>
      <c r="H918" s="194"/>
      <c r="I918" s="194"/>
      <c r="J918" s="194"/>
      <c r="K918" s="194"/>
      <c r="L918" s="194"/>
      <c r="M918" s="194"/>
      <c r="N918" s="194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</row>
    <row r="919" ht="15.75" customHeight="1">
      <c r="A919" s="194"/>
      <c r="B919" s="195"/>
      <c r="C919" s="194"/>
      <c r="D919" s="194"/>
      <c r="E919" s="194"/>
      <c r="F919" s="194"/>
      <c r="G919" s="194"/>
      <c r="H919" s="194"/>
      <c r="I919" s="194"/>
      <c r="J919" s="194"/>
      <c r="K919" s="194"/>
      <c r="L919" s="194"/>
      <c r="M919" s="194"/>
      <c r="N919" s="194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</row>
    <row r="920" ht="15.75" customHeight="1">
      <c r="A920" s="194"/>
      <c r="B920" s="195"/>
      <c r="C920" s="194"/>
      <c r="D920" s="194"/>
      <c r="E920" s="194"/>
      <c r="F920" s="194"/>
      <c r="G920" s="194"/>
      <c r="H920" s="194"/>
      <c r="I920" s="194"/>
      <c r="J920" s="194"/>
      <c r="K920" s="194"/>
      <c r="L920" s="194"/>
      <c r="M920" s="194"/>
      <c r="N920" s="194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</row>
    <row r="921" ht="15.75" customHeight="1">
      <c r="A921" s="194"/>
      <c r="B921" s="195"/>
      <c r="C921" s="194"/>
      <c r="D921" s="194"/>
      <c r="E921" s="194"/>
      <c r="F921" s="194"/>
      <c r="G921" s="194"/>
      <c r="H921" s="194"/>
      <c r="I921" s="194"/>
      <c r="J921" s="194"/>
      <c r="K921" s="194"/>
      <c r="L921" s="194"/>
      <c r="M921" s="194"/>
      <c r="N921" s="194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</row>
    <row r="922" ht="15.75" customHeight="1">
      <c r="A922" s="194"/>
      <c r="B922" s="195"/>
      <c r="C922" s="194"/>
      <c r="D922" s="194"/>
      <c r="E922" s="194"/>
      <c r="F922" s="194"/>
      <c r="G922" s="194"/>
      <c r="H922" s="194"/>
      <c r="I922" s="194"/>
      <c r="J922" s="194"/>
      <c r="K922" s="194"/>
      <c r="L922" s="194"/>
      <c r="M922" s="194"/>
      <c r="N922" s="194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</row>
    <row r="923" ht="15.75" customHeight="1">
      <c r="A923" s="194"/>
      <c r="B923" s="195"/>
      <c r="C923" s="194"/>
      <c r="D923" s="194"/>
      <c r="E923" s="194"/>
      <c r="F923" s="194"/>
      <c r="G923" s="194"/>
      <c r="H923" s="194"/>
      <c r="I923" s="194"/>
      <c r="J923" s="194"/>
      <c r="K923" s="194"/>
      <c r="L923" s="194"/>
      <c r="M923" s="194"/>
      <c r="N923" s="194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</row>
    <row r="924" ht="15.75" customHeight="1">
      <c r="A924" s="194"/>
      <c r="B924" s="195"/>
      <c r="C924" s="194"/>
      <c r="D924" s="194"/>
      <c r="E924" s="194"/>
      <c r="F924" s="194"/>
      <c r="G924" s="194"/>
      <c r="H924" s="194"/>
      <c r="I924" s="194"/>
      <c r="J924" s="194"/>
      <c r="K924" s="194"/>
      <c r="L924" s="194"/>
      <c r="M924" s="194"/>
      <c r="N924" s="194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</row>
    <row r="925" ht="15.75" customHeight="1">
      <c r="A925" s="194"/>
      <c r="B925" s="195"/>
      <c r="C925" s="194"/>
      <c r="D925" s="194"/>
      <c r="E925" s="194"/>
      <c r="F925" s="194"/>
      <c r="G925" s="194"/>
      <c r="H925" s="194"/>
      <c r="I925" s="194"/>
      <c r="J925" s="194"/>
      <c r="K925" s="194"/>
      <c r="L925" s="194"/>
      <c r="M925" s="194"/>
      <c r="N925" s="194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</row>
    <row r="926" ht="15.75" customHeight="1">
      <c r="A926" s="194"/>
      <c r="B926" s="195"/>
      <c r="C926" s="194"/>
      <c r="D926" s="194"/>
      <c r="E926" s="194"/>
      <c r="F926" s="194"/>
      <c r="G926" s="194"/>
      <c r="H926" s="194"/>
      <c r="I926" s="194"/>
      <c r="J926" s="194"/>
      <c r="K926" s="194"/>
      <c r="L926" s="194"/>
      <c r="M926" s="194"/>
      <c r="N926" s="194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</row>
    <row r="927" ht="15.75" customHeight="1">
      <c r="A927" s="194"/>
      <c r="B927" s="195"/>
      <c r="C927" s="194"/>
      <c r="D927" s="194"/>
      <c r="E927" s="194"/>
      <c r="F927" s="194"/>
      <c r="G927" s="194"/>
      <c r="H927" s="194"/>
      <c r="I927" s="194"/>
      <c r="J927" s="194"/>
      <c r="K927" s="194"/>
      <c r="L927" s="194"/>
      <c r="M927" s="194"/>
      <c r="N927" s="194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</row>
    <row r="928" ht="15.75" customHeight="1">
      <c r="A928" s="194"/>
      <c r="B928" s="195"/>
      <c r="C928" s="194"/>
      <c r="D928" s="194"/>
      <c r="E928" s="194"/>
      <c r="F928" s="194"/>
      <c r="G928" s="194"/>
      <c r="H928" s="194"/>
      <c r="I928" s="194"/>
      <c r="J928" s="194"/>
      <c r="K928" s="194"/>
      <c r="L928" s="194"/>
      <c r="M928" s="194"/>
      <c r="N928" s="194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</row>
    <row r="929" ht="15.75" customHeight="1">
      <c r="A929" s="194"/>
      <c r="B929" s="195"/>
      <c r="C929" s="194"/>
      <c r="D929" s="194"/>
      <c r="E929" s="194"/>
      <c r="F929" s="194"/>
      <c r="G929" s="194"/>
      <c r="H929" s="194"/>
      <c r="I929" s="194"/>
      <c r="J929" s="194"/>
      <c r="K929" s="194"/>
      <c r="L929" s="194"/>
      <c r="M929" s="194"/>
      <c r="N929" s="194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</row>
    <row r="930" ht="15.75" customHeight="1">
      <c r="A930" s="194"/>
      <c r="B930" s="195"/>
      <c r="C930" s="194"/>
      <c r="D930" s="194"/>
      <c r="E930" s="194"/>
      <c r="F930" s="194"/>
      <c r="G930" s="194"/>
      <c r="H930" s="194"/>
      <c r="I930" s="194"/>
      <c r="J930" s="194"/>
      <c r="K930" s="194"/>
      <c r="L930" s="194"/>
      <c r="M930" s="194"/>
      <c r="N930" s="194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</row>
    <row r="931" ht="15.75" customHeight="1">
      <c r="A931" s="194"/>
      <c r="B931" s="195"/>
      <c r="C931" s="194"/>
      <c r="D931" s="194"/>
      <c r="E931" s="194"/>
      <c r="F931" s="194"/>
      <c r="G931" s="194"/>
      <c r="H931" s="194"/>
      <c r="I931" s="194"/>
      <c r="J931" s="194"/>
      <c r="K931" s="194"/>
      <c r="L931" s="194"/>
      <c r="M931" s="194"/>
      <c r="N931" s="194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</row>
    <row r="932" ht="15.75" customHeight="1">
      <c r="A932" s="194"/>
      <c r="B932" s="195"/>
      <c r="C932" s="194"/>
      <c r="D932" s="194"/>
      <c r="E932" s="194"/>
      <c r="F932" s="194"/>
      <c r="G932" s="194"/>
      <c r="H932" s="194"/>
      <c r="I932" s="194"/>
      <c r="J932" s="194"/>
      <c r="K932" s="194"/>
      <c r="L932" s="194"/>
      <c r="M932" s="194"/>
      <c r="N932" s="194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</row>
    <row r="933" ht="15.75" customHeight="1">
      <c r="A933" s="194"/>
      <c r="B933" s="195"/>
      <c r="C933" s="194"/>
      <c r="D933" s="194"/>
      <c r="E933" s="194"/>
      <c r="F933" s="194"/>
      <c r="G933" s="194"/>
      <c r="H933" s="194"/>
      <c r="I933" s="194"/>
      <c r="J933" s="194"/>
      <c r="K933" s="194"/>
      <c r="L933" s="194"/>
      <c r="M933" s="194"/>
      <c r="N933" s="194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</row>
    <row r="934" ht="15.75" customHeight="1">
      <c r="A934" s="194"/>
      <c r="B934" s="195"/>
      <c r="C934" s="194"/>
      <c r="D934" s="194"/>
      <c r="E934" s="194"/>
      <c r="F934" s="194"/>
      <c r="G934" s="194"/>
      <c r="H934" s="194"/>
      <c r="I934" s="194"/>
      <c r="J934" s="194"/>
      <c r="K934" s="194"/>
      <c r="L934" s="194"/>
      <c r="M934" s="194"/>
      <c r="N934" s="194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</row>
    <row r="935" ht="15.75" customHeight="1">
      <c r="A935" s="194"/>
      <c r="B935" s="195"/>
      <c r="C935" s="194"/>
      <c r="D935" s="194"/>
      <c r="E935" s="194"/>
      <c r="F935" s="194"/>
      <c r="G935" s="194"/>
      <c r="H935" s="194"/>
      <c r="I935" s="194"/>
      <c r="J935" s="194"/>
      <c r="K935" s="194"/>
      <c r="L935" s="194"/>
      <c r="M935" s="194"/>
      <c r="N935" s="194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</row>
    <row r="936" ht="15.75" customHeight="1">
      <c r="A936" s="194"/>
      <c r="B936" s="195"/>
      <c r="C936" s="194"/>
      <c r="D936" s="194"/>
      <c r="E936" s="194"/>
      <c r="F936" s="194"/>
      <c r="G936" s="194"/>
      <c r="H936" s="194"/>
      <c r="I936" s="194"/>
      <c r="J936" s="194"/>
      <c r="K936" s="194"/>
      <c r="L936" s="194"/>
      <c r="M936" s="194"/>
      <c r="N936" s="194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</row>
    <row r="937" ht="15.75" customHeight="1">
      <c r="A937" s="194"/>
      <c r="B937" s="195"/>
      <c r="C937" s="194"/>
      <c r="D937" s="194"/>
      <c r="E937" s="194"/>
      <c r="F937" s="194"/>
      <c r="G937" s="194"/>
      <c r="H937" s="194"/>
      <c r="I937" s="194"/>
      <c r="J937" s="194"/>
      <c r="K937" s="194"/>
      <c r="L937" s="194"/>
      <c r="M937" s="194"/>
      <c r="N937" s="194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</row>
    <row r="938" ht="15.75" customHeight="1">
      <c r="A938" s="194"/>
      <c r="B938" s="195"/>
      <c r="C938" s="194"/>
      <c r="D938" s="194"/>
      <c r="E938" s="194"/>
      <c r="F938" s="194"/>
      <c r="G938" s="194"/>
      <c r="H938" s="194"/>
      <c r="I938" s="194"/>
      <c r="J938" s="194"/>
      <c r="K938" s="194"/>
      <c r="L938" s="194"/>
      <c r="M938" s="194"/>
      <c r="N938" s="194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</row>
    <row r="939" ht="15.75" customHeight="1">
      <c r="A939" s="194"/>
      <c r="B939" s="195"/>
      <c r="C939" s="194"/>
      <c r="D939" s="194"/>
      <c r="E939" s="194"/>
      <c r="F939" s="194"/>
      <c r="G939" s="194"/>
      <c r="H939" s="194"/>
      <c r="I939" s="194"/>
      <c r="J939" s="194"/>
      <c r="K939" s="194"/>
      <c r="L939" s="194"/>
      <c r="M939" s="194"/>
      <c r="N939" s="194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</row>
    <row r="940" ht="15.75" customHeight="1">
      <c r="A940" s="194"/>
      <c r="B940" s="195"/>
      <c r="C940" s="194"/>
      <c r="D940" s="194"/>
      <c r="E940" s="194"/>
      <c r="F940" s="194"/>
      <c r="G940" s="194"/>
      <c r="H940" s="194"/>
      <c r="I940" s="194"/>
      <c r="J940" s="194"/>
      <c r="K940" s="194"/>
      <c r="L940" s="194"/>
      <c r="M940" s="194"/>
      <c r="N940" s="194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</row>
    <row r="941" ht="15.75" customHeight="1">
      <c r="A941" s="194"/>
      <c r="B941" s="195"/>
      <c r="C941" s="194"/>
      <c r="D941" s="194"/>
      <c r="E941" s="194"/>
      <c r="F941" s="194"/>
      <c r="G941" s="194"/>
      <c r="H941" s="194"/>
      <c r="I941" s="194"/>
      <c r="J941" s="194"/>
      <c r="K941" s="194"/>
      <c r="L941" s="194"/>
      <c r="M941" s="194"/>
      <c r="N941" s="194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</row>
    <row r="942" ht="15.75" customHeight="1">
      <c r="A942" s="194"/>
      <c r="B942" s="195"/>
      <c r="C942" s="194"/>
      <c r="D942" s="194"/>
      <c r="E942" s="194"/>
      <c r="F942" s="194"/>
      <c r="G942" s="194"/>
      <c r="H942" s="194"/>
      <c r="I942" s="194"/>
      <c r="J942" s="194"/>
      <c r="K942" s="194"/>
      <c r="L942" s="194"/>
      <c r="M942" s="194"/>
      <c r="N942" s="194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</row>
    <row r="943" ht="15.75" customHeight="1">
      <c r="A943" s="194"/>
      <c r="B943" s="195"/>
      <c r="C943" s="194"/>
      <c r="D943" s="194"/>
      <c r="E943" s="194"/>
      <c r="F943" s="194"/>
      <c r="G943" s="194"/>
      <c r="H943" s="194"/>
      <c r="I943" s="194"/>
      <c r="J943" s="194"/>
      <c r="K943" s="194"/>
      <c r="L943" s="194"/>
      <c r="M943" s="194"/>
      <c r="N943" s="194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</row>
    <row r="944" ht="15.75" customHeight="1">
      <c r="A944" s="194"/>
      <c r="B944" s="195"/>
      <c r="C944" s="194"/>
      <c r="D944" s="194"/>
      <c r="E944" s="194"/>
      <c r="F944" s="194"/>
      <c r="G944" s="194"/>
      <c r="H944" s="194"/>
      <c r="I944" s="194"/>
      <c r="J944" s="194"/>
      <c r="K944" s="194"/>
      <c r="L944" s="194"/>
      <c r="M944" s="194"/>
      <c r="N944" s="194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</row>
    <row r="945" ht="15.75" customHeight="1">
      <c r="A945" s="194"/>
      <c r="B945" s="195"/>
      <c r="C945" s="194"/>
      <c r="D945" s="194"/>
      <c r="E945" s="194"/>
      <c r="F945" s="194"/>
      <c r="G945" s="194"/>
      <c r="H945" s="194"/>
      <c r="I945" s="194"/>
      <c r="J945" s="194"/>
      <c r="K945" s="194"/>
      <c r="L945" s="194"/>
      <c r="M945" s="194"/>
      <c r="N945" s="194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</row>
    <row r="946" ht="15.75" customHeight="1">
      <c r="A946" s="194"/>
      <c r="B946" s="195"/>
      <c r="C946" s="194"/>
      <c r="D946" s="194"/>
      <c r="E946" s="194"/>
      <c r="F946" s="194"/>
      <c r="G946" s="194"/>
      <c r="H946" s="194"/>
      <c r="I946" s="194"/>
      <c r="J946" s="194"/>
      <c r="K946" s="194"/>
      <c r="L946" s="194"/>
      <c r="M946" s="194"/>
      <c r="N946" s="194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</row>
    <row r="947" ht="15.75" customHeight="1">
      <c r="A947" s="194"/>
      <c r="B947" s="195"/>
      <c r="C947" s="194"/>
      <c r="D947" s="194"/>
      <c r="E947" s="194"/>
      <c r="F947" s="194"/>
      <c r="G947" s="194"/>
      <c r="H947" s="194"/>
      <c r="I947" s="194"/>
      <c r="J947" s="194"/>
      <c r="K947" s="194"/>
      <c r="L947" s="194"/>
      <c r="M947" s="194"/>
      <c r="N947" s="194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</row>
    <row r="948" ht="15.75" customHeight="1">
      <c r="A948" s="194"/>
      <c r="B948" s="195"/>
      <c r="C948" s="194"/>
      <c r="D948" s="194"/>
      <c r="E948" s="194"/>
      <c r="F948" s="194"/>
      <c r="G948" s="194"/>
      <c r="H948" s="194"/>
      <c r="I948" s="194"/>
      <c r="J948" s="194"/>
      <c r="K948" s="194"/>
      <c r="L948" s="194"/>
      <c r="M948" s="194"/>
      <c r="N948" s="194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</row>
    <row r="949" ht="15.75" customHeight="1">
      <c r="A949" s="194"/>
      <c r="B949" s="195"/>
      <c r="C949" s="194"/>
      <c r="D949" s="194"/>
      <c r="E949" s="194"/>
      <c r="F949" s="194"/>
      <c r="G949" s="194"/>
      <c r="H949" s="194"/>
      <c r="I949" s="194"/>
      <c r="J949" s="194"/>
      <c r="K949" s="194"/>
      <c r="L949" s="194"/>
      <c r="M949" s="194"/>
      <c r="N949" s="194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</row>
    <row r="950" ht="15.75" customHeight="1">
      <c r="A950" s="194"/>
      <c r="B950" s="195"/>
      <c r="C950" s="194"/>
      <c r="D950" s="194"/>
      <c r="E950" s="194"/>
      <c r="F950" s="194"/>
      <c r="G950" s="194"/>
      <c r="H950" s="194"/>
      <c r="I950" s="194"/>
      <c r="J950" s="194"/>
      <c r="K950" s="194"/>
      <c r="L950" s="194"/>
      <c r="M950" s="194"/>
      <c r="N950" s="194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</row>
    <row r="951" ht="15.75" customHeight="1">
      <c r="A951" s="194"/>
      <c r="B951" s="195"/>
      <c r="C951" s="194"/>
      <c r="D951" s="194"/>
      <c r="E951" s="194"/>
      <c r="F951" s="194"/>
      <c r="G951" s="194"/>
      <c r="H951" s="194"/>
      <c r="I951" s="194"/>
      <c r="J951" s="194"/>
      <c r="K951" s="194"/>
      <c r="L951" s="194"/>
      <c r="M951" s="194"/>
      <c r="N951" s="194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</row>
    <row r="952" ht="15.75" customHeight="1">
      <c r="A952" s="194"/>
      <c r="B952" s="195"/>
      <c r="C952" s="194"/>
      <c r="D952" s="194"/>
      <c r="E952" s="194"/>
      <c r="F952" s="194"/>
      <c r="G952" s="194"/>
      <c r="H952" s="194"/>
      <c r="I952" s="194"/>
      <c r="J952" s="194"/>
      <c r="K952" s="194"/>
      <c r="L952" s="194"/>
      <c r="M952" s="194"/>
      <c r="N952" s="194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</row>
    <row r="953" ht="15.75" customHeight="1">
      <c r="A953" s="194"/>
      <c r="B953" s="195"/>
      <c r="C953" s="194"/>
      <c r="D953" s="194"/>
      <c r="E953" s="194"/>
      <c r="F953" s="194"/>
      <c r="G953" s="194"/>
      <c r="H953" s="194"/>
      <c r="I953" s="194"/>
      <c r="J953" s="194"/>
      <c r="K953" s="194"/>
      <c r="L953" s="194"/>
      <c r="M953" s="194"/>
      <c r="N953" s="194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</row>
    <row r="954" ht="15.75" customHeight="1">
      <c r="A954" s="194"/>
      <c r="B954" s="195"/>
      <c r="C954" s="194"/>
      <c r="D954" s="194"/>
      <c r="E954" s="194"/>
      <c r="F954" s="194"/>
      <c r="G954" s="194"/>
      <c r="H954" s="194"/>
      <c r="I954" s="194"/>
      <c r="J954" s="194"/>
      <c r="K954" s="194"/>
      <c r="L954" s="194"/>
      <c r="M954" s="194"/>
      <c r="N954" s="194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</row>
    <row r="955" ht="15.75" customHeight="1">
      <c r="A955" s="194"/>
      <c r="B955" s="195"/>
      <c r="C955" s="194"/>
      <c r="D955" s="194"/>
      <c r="E955" s="194"/>
      <c r="F955" s="194"/>
      <c r="G955" s="194"/>
      <c r="H955" s="194"/>
      <c r="I955" s="194"/>
      <c r="J955" s="194"/>
      <c r="K955" s="194"/>
      <c r="L955" s="194"/>
      <c r="M955" s="194"/>
      <c r="N955" s="194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</row>
    <row r="956" ht="15.75" customHeight="1">
      <c r="A956" s="194"/>
      <c r="B956" s="195"/>
      <c r="C956" s="194"/>
      <c r="D956" s="194"/>
      <c r="E956" s="194"/>
      <c r="F956" s="194"/>
      <c r="G956" s="194"/>
      <c r="H956" s="194"/>
      <c r="I956" s="194"/>
      <c r="J956" s="194"/>
      <c r="K956" s="194"/>
      <c r="L956" s="194"/>
      <c r="M956" s="194"/>
      <c r="N956" s="194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</row>
    <row r="957" ht="15.75" customHeight="1">
      <c r="A957" s="194"/>
      <c r="B957" s="195"/>
      <c r="C957" s="194"/>
      <c r="D957" s="194"/>
      <c r="E957" s="194"/>
      <c r="F957" s="194"/>
      <c r="G957" s="194"/>
      <c r="H957" s="194"/>
      <c r="I957" s="194"/>
      <c r="J957" s="194"/>
      <c r="K957" s="194"/>
      <c r="L957" s="194"/>
      <c r="M957" s="194"/>
      <c r="N957" s="194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</row>
    <row r="958" ht="15.75" customHeight="1">
      <c r="A958" s="194"/>
      <c r="B958" s="195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4"/>
      <c r="N958" s="194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</row>
    <row r="959" ht="15.75" customHeight="1">
      <c r="A959" s="194"/>
      <c r="B959" s="195"/>
      <c r="C959" s="194"/>
      <c r="D959" s="194"/>
      <c r="E959" s="194"/>
      <c r="F959" s="194"/>
      <c r="G959" s="194"/>
      <c r="H959" s="194"/>
      <c r="I959" s="194"/>
      <c r="J959" s="194"/>
      <c r="K959" s="194"/>
      <c r="L959" s="194"/>
      <c r="M959" s="194"/>
      <c r="N959" s="194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</row>
    <row r="960" ht="15.75" customHeight="1">
      <c r="A960" s="194"/>
      <c r="B960" s="195"/>
      <c r="C960" s="194"/>
      <c r="D960" s="194"/>
      <c r="E960" s="194"/>
      <c r="F960" s="194"/>
      <c r="G960" s="194"/>
      <c r="H960" s="194"/>
      <c r="I960" s="194"/>
      <c r="J960" s="194"/>
      <c r="K960" s="194"/>
      <c r="L960" s="194"/>
      <c r="M960" s="194"/>
      <c r="N960" s="194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</row>
    <row r="961" ht="15.75" customHeight="1">
      <c r="A961" s="194"/>
      <c r="B961" s="195"/>
      <c r="C961" s="194"/>
      <c r="D961" s="194"/>
      <c r="E961" s="194"/>
      <c r="F961" s="194"/>
      <c r="G961" s="194"/>
      <c r="H961" s="194"/>
      <c r="I961" s="194"/>
      <c r="J961" s="194"/>
      <c r="K961" s="194"/>
      <c r="L961" s="194"/>
      <c r="M961" s="194"/>
      <c r="N961" s="194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</row>
    <row r="962" ht="15.75" customHeight="1">
      <c r="A962" s="194"/>
      <c r="B962" s="195"/>
      <c r="C962" s="194"/>
      <c r="D962" s="194"/>
      <c r="E962" s="194"/>
      <c r="F962" s="194"/>
      <c r="G962" s="194"/>
      <c r="H962" s="194"/>
      <c r="I962" s="194"/>
      <c r="J962" s="194"/>
      <c r="K962" s="194"/>
      <c r="L962" s="194"/>
      <c r="M962" s="194"/>
      <c r="N962" s="194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</row>
    <row r="963" ht="15.75" customHeight="1">
      <c r="A963" s="194"/>
      <c r="B963" s="195"/>
      <c r="C963" s="194"/>
      <c r="D963" s="194"/>
      <c r="E963" s="194"/>
      <c r="F963" s="194"/>
      <c r="G963" s="194"/>
      <c r="H963" s="194"/>
      <c r="I963" s="194"/>
      <c r="J963" s="194"/>
      <c r="K963" s="194"/>
      <c r="L963" s="194"/>
      <c r="M963" s="194"/>
      <c r="N963" s="194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</row>
    <row r="964" ht="15.75" customHeight="1">
      <c r="A964" s="194"/>
      <c r="B964" s="195"/>
      <c r="C964" s="194"/>
      <c r="D964" s="194"/>
      <c r="E964" s="194"/>
      <c r="F964" s="194"/>
      <c r="G964" s="194"/>
      <c r="H964" s="194"/>
      <c r="I964" s="194"/>
      <c r="J964" s="194"/>
      <c r="K964" s="194"/>
      <c r="L964" s="194"/>
      <c r="M964" s="194"/>
      <c r="N964" s="194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</row>
    <row r="965" ht="15.75" customHeight="1">
      <c r="A965" s="194"/>
      <c r="B965" s="195"/>
      <c r="C965" s="194"/>
      <c r="D965" s="194"/>
      <c r="E965" s="194"/>
      <c r="F965" s="194"/>
      <c r="G965" s="194"/>
      <c r="H965" s="194"/>
      <c r="I965" s="194"/>
      <c r="J965" s="194"/>
      <c r="K965" s="194"/>
      <c r="L965" s="194"/>
      <c r="M965" s="194"/>
      <c r="N965" s="194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</row>
    <row r="966" ht="15.75" customHeight="1">
      <c r="A966" s="194"/>
      <c r="B966" s="195"/>
      <c r="C966" s="194"/>
      <c r="D966" s="194"/>
      <c r="E966" s="194"/>
      <c r="F966" s="194"/>
      <c r="G966" s="194"/>
      <c r="H966" s="194"/>
      <c r="I966" s="194"/>
      <c r="J966" s="194"/>
      <c r="K966" s="194"/>
      <c r="L966" s="194"/>
      <c r="M966" s="194"/>
      <c r="N966" s="194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</row>
    <row r="967" ht="15.75" customHeight="1">
      <c r="A967" s="194"/>
      <c r="B967" s="195"/>
      <c r="C967" s="194"/>
      <c r="D967" s="194"/>
      <c r="E967" s="194"/>
      <c r="F967" s="194"/>
      <c r="G967" s="194"/>
      <c r="H967" s="194"/>
      <c r="I967" s="194"/>
      <c r="J967" s="194"/>
      <c r="K967" s="194"/>
      <c r="L967" s="194"/>
      <c r="M967" s="194"/>
      <c r="N967" s="194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</row>
    <row r="968" ht="15.75" customHeight="1">
      <c r="A968" s="194"/>
      <c r="B968" s="195"/>
      <c r="C968" s="194"/>
      <c r="D968" s="194"/>
      <c r="E968" s="194"/>
      <c r="F968" s="194"/>
      <c r="G968" s="194"/>
      <c r="H968" s="194"/>
      <c r="I968" s="194"/>
      <c r="J968" s="194"/>
      <c r="K968" s="194"/>
      <c r="L968" s="194"/>
      <c r="M968" s="194"/>
      <c r="N968" s="194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</row>
    <row r="969" ht="15.75" customHeight="1">
      <c r="A969" s="194"/>
      <c r="B969" s="195"/>
      <c r="C969" s="194"/>
      <c r="D969" s="194"/>
      <c r="E969" s="194"/>
      <c r="F969" s="194"/>
      <c r="G969" s="194"/>
      <c r="H969" s="194"/>
      <c r="I969" s="194"/>
      <c r="J969" s="194"/>
      <c r="K969" s="194"/>
      <c r="L969" s="194"/>
      <c r="M969" s="194"/>
      <c r="N969" s="194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</row>
    <row r="970" ht="15.75" customHeight="1">
      <c r="A970" s="194"/>
      <c r="B970" s="195"/>
      <c r="C970" s="194"/>
      <c r="D970" s="194"/>
      <c r="E970" s="194"/>
      <c r="F970" s="194"/>
      <c r="G970" s="194"/>
      <c r="H970" s="194"/>
      <c r="I970" s="194"/>
      <c r="J970" s="194"/>
      <c r="K970" s="194"/>
      <c r="L970" s="194"/>
      <c r="M970" s="194"/>
      <c r="N970" s="194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</row>
    <row r="971" ht="15.75" customHeight="1">
      <c r="A971" s="194"/>
      <c r="B971" s="195"/>
      <c r="C971" s="194"/>
      <c r="D971" s="194"/>
      <c r="E971" s="194"/>
      <c r="F971" s="194"/>
      <c r="G971" s="194"/>
      <c r="H971" s="194"/>
      <c r="I971" s="194"/>
      <c r="J971" s="194"/>
      <c r="K971" s="194"/>
      <c r="L971" s="194"/>
      <c r="M971" s="194"/>
      <c r="N971" s="194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</row>
    <row r="972" ht="15.75" customHeight="1">
      <c r="A972" s="194"/>
      <c r="B972" s="195"/>
      <c r="C972" s="194"/>
      <c r="D972" s="194"/>
      <c r="E972" s="194"/>
      <c r="F972" s="194"/>
      <c r="G972" s="194"/>
      <c r="H972" s="194"/>
      <c r="I972" s="194"/>
      <c r="J972" s="194"/>
      <c r="K972" s="194"/>
      <c r="L972" s="194"/>
      <c r="M972" s="194"/>
      <c r="N972" s="194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</row>
    <row r="973" ht="15.75" customHeight="1">
      <c r="A973" s="194"/>
      <c r="B973" s="195"/>
      <c r="C973" s="194"/>
      <c r="D973" s="194"/>
      <c r="E973" s="194"/>
      <c r="F973" s="194"/>
      <c r="G973" s="194"/>
      <c r="H973" s="194"/>
      <c r="I973" s="194"/>
      <c r="J973" s="194"/>
      <c r="K973" s="194"/>
      <c r="L973" s="194"/>
      <c r="M973" s="194"/>
      <c r="N973" s="194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</row>
    <row r="974" ht="15.75" customHeight="1">
      <c r="A974" s="194"/>
      <c r="B974" s="195"/>
      <c r="C974" s="194"/>
      <c r="D974" s="194"/>
      <c r="E974" s="194"/>
      <c r="F974" s="194"/>
      <c r="G974" s="194"/>
      <c r="H974" s="194"/>
      <c r="I974" s="194"/>
      <c r="J974" s="194"/>
      <c r="K974" s="194"/>
      <c r="L974" s="194"/>
      <c r="M974" s="194"/>
      <c r="N974" s="194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</row>
    <row r="975" ht="15.75" customHeight="1">
      <c r="A975" s="194"/>
      <c r="B975" s="195"/>
      <c r="C975" s="194"/>
      <c r="D975" s="194"/>
      <c r="E975" s="194"/>
      <c r="F975" s="194"/>
      <c r="G975" s="194"/>
      <c r="H975" s="194"/>
      <c r="I975" s="194"/>
      <c r="J975" s="194"/>
      <c r="K975" s="194"/>
      <c r="L975" s="194"/>
      <c r="M975" s="194"/>
      <c r="N975" s="194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</row>
    <row r="976" ht="15.75" customHeight="1">
      <c r="A976" s="194"/>
      <c r="B976" s="195"/>
      <c r="C976" s="194"/>
      <c r="D976" s="194"/>
      <c r="E976" s="194"/>
      <c r="F976" s="194"/>
      <c r="G976" s="194"/>
      <c r="H976" s="194"/>
      <c r="I976" s="194"/>
      <c r="J976" s="194"/>
      <c r="K976" s="194"/>
      <c r="L976" s="194"/>
      <c r="M976" s="194"/>
      <c r="N976" s="194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</row>
    <row r="977" ht="15.75" customHeight="1">
      <c r="A977" s="194"/>
      <c r="B977" s="195"/>
      <c r="C977" s="194"/>
      <c r="D977" s="194"/>
      <c r="E977" s="194"/>
      <c r="F977" s="194"/>
      <c r="G977" s="194"/>
      <c r="H977" s="194"/>
      <c r="I977" s="194"/>
      <c r="J977" s="194"/>
      <c r="K977" s="194"/>
      <c r="L977" s="194"/>
      <c r="M977" s="194"/>
      <c r="N977" s="194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</row>
    <row r="978" ht="15.75" customHeight="1">
      <c r="A978" s="194"/>
      <c r="B978" s="195"/>
      <c r="C978" s="194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</row>
    <row r="979" ht="15.75" customHeight="1">
      <c r="A979" s="194"/>
      <c r="B979" s="195"/>
      <c r="C979" s="194"/>
      <c r="D979" s="194"/>
      <c r="E979" s="194"/>
      <c r="F979" s="194"/>
      <c r="G979" s="194"/>
      <c r="H979" s="194"/>
      <c r="I979" s="194"/>
      <c r="J979" s="194"/>
      <c r="K979" s="194"/>
      <c r="L979" s="194"/>
      <c r="M979" s="194"/>
      <c r="N979" s="194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</row>
    <row r="980" ht="15.75" customHeight="1">
      <c r="A980" s="194"/>
      <c r="B980" s="195"/>
      <c r="C980" s="194"/>
      <c r="D980" s="194"/>
      <c r="E980" s="194"/>
      <c r="F980" s="194"/>
      <c r="G980" s="194"/>
      <c r="H980" s="194"/>
      <c r="I980" s="194"/>
      <c r="J980" s="194"/>
      <c r="K980" s="194"/>
      <c r="L980" s="194"/>
      <c r="M980" s="194"/>
      <c r="N980" s="194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</row>
    <row r="981" ht="15.75" customHeight="1">
      <c r="A981" s="194"/>
      <c r="B981" s="195"/>
      <c r="C981" s="194"/>
      <c r="D981" s="194"/>
      <c r="E981" s="194"/>
      <c r="F981" s="194"/>
      <c r="G981" s="194"/>
      <c r="H981" s="194"/>
      <c r="I981" s="194"/>
      <c r="J981" s="194"/>
      <c r="K981" s="194"/>
      <c r="L981" s="194"/>
      <c r="M981" s="194"/>
      <c r="N981" s="194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</row>
    <row r="982" ht="15.75" customHeight="1">
      <c r="A982" s="194"/>
      <c r="B982" s="195"/>
      <c r="C982" s="194"/>
      <c r="D982" s="194"/>
      <c r="E982" s="194"/>
      <c r="F982" s="194"/>
      <c r="G982" s="194"/>
      <c r="H982" s="194"/>
      <c r="I982" s="194"/>
      <c r="J982" s="194"/>
      <c r="K982" s="194"/>
      <c r="L982" s="194"/>
      <c r="M982" s="194"/>
      <c r="N982" s="194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</row>
    <row r="983" ht="15.75" customHeight="1">
      <c r="A983" s="194"/>
      <c r="B983" s="195"/>
      <c r="C983" s="194"/>
      <c r="D983" s="194"/>
      <c r="E983" s="194"/>
      <c r="F983" s="194"/>
      <c r="G983" s="194"/>
      <c r="H983" s="194"/>
      <c r="I983" s="194"/>
      <c r="J983" s="194"/>
      <c r="K983" s="194"/>
      <c r="L983" s="194"/>
      <c r="M983" s="194"/>
      <c r="N983" s="194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</row>
    <row r="984" ht="15.75" customHeight="1">
      <c r="A984" s="194"/>
      <c r="B984" s="195"/>
      <c r="C984" s="194"/>
      <c r="D984" s="194"/>
      <c r="E984" s="194"/>
      <c r="F984" s="194"/>
      <c r="G984" s="194"/>
      <c r="H984" s="194"/>
      <c r="I984" s="194"/>
      <c r="J984" s="194"/>
      <c r="K984" s="194"/>
      <c r="L984" s="194"/>
      <c r="M984" s="194"/>
      <c r="N984" s="194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</row>
    <row r="985" ht="15.75" customHeight="1">
      <c r="A985" s="194"/>
      <c r="B985" s="195"/>
      <c r="C985" s="194"/>
      <c r="D985" s="194"/>
      <c r="E985" s="194"/>
      <c r="F985" s="194"/>
      <c r="G985" s="194"/>
      <c r="H985" s="194"/>
      <c r="I985" s="194"/>
      <c r="J985" s="194"/>
      <c r="K985" s="194"/>
      <c r="L985" s="194"/>
      <c r="M985" s="194"/>
      <c r="N985" s="194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</row>
    <row r="986" ht="15.75" customHeight="1">
      <c r="A986" s="194"/>
      <c r="B986" s="195"/>
      <c r="C986" s="194"/>
      <c r="D986" s="194"/>
      <c r="E986" s="194"/>
      <c r="F986" s="194"/>
      <c r="G986" s="194"/>
      <c r="H986" s="194"/>
      <c r="I986" s="194"/>
      <c r="J986" s="194"/>
      <c r="K986" s="194"/>
      <c r="L986" s="194"/>
      <c r="M986" s="194"/>
      <c r="N986" s="194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</row>
    <row r="987" ht="15.75" customHeight="1">
      <c r="A987" s="194"/>
      <c r="B987" s="195"/>
      <c r="C987" s="194"/>
      <c r="D987" s="194"/>
      <c r="E987" s="194"/>
      <c r="F987" s="194"/>
      <c r="G987" s="194"/>
      <c r="H987" s="194"/>
      <c r="I987" s="194"/>
      <c r="J987" s="194"/>
      <c r="K987" s="194"/>
      <c r="L987" s="194"/>
      <c r="M987" s="194"/>
      <c r="N987" s="194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</row>
    <row r="988" ht="15.75" customHeight="1">
      <c r="A988" s="194"/>
      <c r="B988" s="195"/>
      <c r="C988" s="194"/>
      <c r="D988" s="194"/>
      <c r="E988" s="194"/>
      <c r="F988" s="194"/>
      <c r="G988" s="194"/>
      <c r="H988" s="194"/>
      <c r="I988" s="194"/>
      <c r="J988" s="194"/>
      <c r="K988" s="194"/>
      <c r="L988" s="194"/>
      <c r="M988" s="194"/>
      <c r="N988" s="194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</row>
    <row r="989" ht="15.75" customHeight="1">
      <c r="A989" s="194"/>
      <c r="B989" s="195"/>
      <c r="C989" s="194"/>
      <c r="D989" s="194"/>
      <c r="E989" s="194"/>
      <c r="F989" s="194"/>
      <c r="G989" s="194"/>
      <c r="H989" s="194"/>
      <c r="I989" s="194"/>
      <c r="J989" s="194"/>
      <c r="K989" s="194"/>
      <c r="L989" s="194"/>
      <c r="M989" s="194"/>
      <c r="N989" s="194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</row>
    <row r="990" ht="15.75" customHeight="1">
      <c r="A990" s="194"/>
      <c r="B990" s="195"/>
      <c r="C990" s="194"/>
      <c r="D990" s="194"/>
      <c r="E990" s="194"/>
      <c r="F990" s="194"/>
      <c r="G990" s="194"/>
      <c r="H990" s="194"/>
      <c r="I990" s="194"/>
      <c r="J990" s="194"/>
      <c r="K990" s="194"/>
      <c r="L990" s="194"/>
      <c r="M990" s="194"/>
      <c r="N990" s="194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</row>
    <row r="991" ht="15.75" customHeight="1">
      <c r="A991" s="194"/>
      <c r="B991" s="195"/>
      <c r="C991" s="194"/>
      <c r="D991" s="194"/>
      <c r="E991" s="194"/>
      <c r="F991" s="194"/>
      <c r="G991" s="194"/>
      <c r="H991" s="194"/>
      <c r="I991" s="194"/>
      <c r="J991" s="194"/>
      <c r="K991" s="194"/>
      <c r="L991" s="194"/>
      <c r="M991" s="194"/>
      <c r="N991" s="194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</row>
    <row r="992" ht="15.75" customHeight="1">
      <c r="A992" s="194"/>
      <c r="B992" s="195"/>
      <c r="C992" s="194"/>
      <c r="D992" s="194"/>
      <c r="E992" s="194"/>
      <c r="F992" s="194"/>
      <c r="G992" s="194"/>
      <c r="H992" s="194"/>
      <c r="I992" s="194"/>
      <c r="J992" s="194"/>
      <c r="K992" s="194"/>
      <c r="L992" s="194"/>
      <c r="M992" s="194"/>
      <c r="N992" s="194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</row>
    <row r="993" ht="15.75" customHeight="1">
      <c r="A993" s="194"/>
      <c r="B993" s="195"/>
      <c r="C993" s="194"/>
      <c r="D993" s="194"/>
      <c r="E993" s="194"/>
      <c r="F993" s="194"/>
      <c r="G993" s="194"/>
      <c r="H993" s="194"/>
      <c r="I993" s="194"/>
      <c r="J993" s="194"/>
      <c r="K993" s="194"/>
      <c r="L993" s="194"/>
      <c r="M993" s="194"/>
      <c r="N993" s="194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</row>
    <row r="994" ht="15.75" customHeight="1">
      <c r="A994" s="194"/>
      <c r="B994" s="195"/>
      <c r="C994" s="194"/>
      <c r="D994" s="194"/>
      <c r="E994" s="194"/>
      <c r="F994" s="194"/>
      <c r="G994" s="194"/>
      <c r="H994" s="194"/>
      <c r="I994" s="194"/>
      <c r="J994" s="194"/>
      <c r="K994" s="194"/>
      <c r="L994" s="194"/>
      <c r="M994" s="194"/>
      <c r="N994" s="194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</row>
    <row r="995" ht="15.75" customHeight="1">
      <c r="A995" s="194"/>
      <c r="B995" s="195"/>
      <c r="C995" s="194"/>
      <c r="D995" s="194"/>
      <c r="E995" s="194"/>
      <c r="F995" s="194"/>
      <c r="G995" s="194"/>
      <c r="H995" s="194"/>
      <c r="I995" s="194"/>
      <c r="J995" s="194"/>
      <c r="K995" s="194"/>
      <c r="L995" s="194"/>
      <c r="M995" s="194"/>
      <c r="N995" s="194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</row>
    <row r="996" ht="15.75" customHeight="1">
      <c r="A996" s="194"/>
      <c r="B996" s="195"/>
      <c r="C996" s="194"/>
      <c r="D996" s="194"/>
      <c r="E996" s="194"/>
      <c r="F996" s="194"/>
      <c r="G996" s="194"/>
      <c r="H996" s="194"/>
      <c r="I996" s="194"/>
      <c r="J996" s="194"/>
      <c r="K996" s="194"/>
      <c r="L996" s="194"/>
      <c r="M996" s="194"/>
      <c r="N996" s="194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</row>
    <row r="997" ht="15.75" customHeight="1">
      <c r="A997" s="194"/>
      <c r="B997" s="195"/>
      <c r="C997" s="194"/>
      <c r="D997" s="194"/>
      <c r="E997" s="194"/>
      <c r="F997" s="194"/>
      <c r="G997" s="194"/>
      <c r="H997" s="194"/>
      <c r="I997" s="194"/>
      <c r="J997" s="194"/>
      <c r="K997" s="194"/>
      <c r="L997" s="194"/>
      <c r="M997" s="194"/>
      <c r="N997" s="194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</row>
    <row r="998" ht="15.75" customHeight="1">
      <c r="A998" s="194"/>
      <c r="B998" s="195"/>
      <c r="C998" s="194"/>
      <c r="D998" s="194"/>
      <c r="E998" s="194"/>
      <c r="F998" s="194"/>
      <c r="G998" s="194"/>
      <c r="H998" s="194"/>
      <c r="I998" s="194"/>
      <c r="J998" s="194"/>
      <c r="K998" s="194"/>
      <c r="L998" s="194"/>
      <c r="M998" s="194"/>
      <c r="N998" s="194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</row>
    <row r="999" ht="15.75" customHeight="1">
      <c r="A999" s="194"/>
      <c r="B999" s="195"/>
      <c r="C999" s="194"/>
      <c r="D999" s="194"/>
      <c r="E999" s="194"/>
      <c r="F999" s="194"/>
      <c r="G999" s="194"/>
      <c r="H999" s="194"/>
      <c r="I999" s="194"/>
      <c r="J999" s="194"/>
      <c r="K999" s="194"/>
      <c r="L999" s="194"/>
      <c r="M999" s="194"/>
      <c r="N999" s="194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</row>
    <row r="1000" ht="15.75" customHeight="1">
      <c r="A1000" s="194"/>
      <c r="B1000" s="195"/>
      <c r="C1000" s="194"/>
      <c r="D1000" s="194"/>
      <c r="E1000" s="194"/>
      <c r="F1000" s="194"/>
      <c r="G1000" s="194"/>
      <c r="H1000" s="194"/>
      <c r="I1000" s="194"/>
      <c r="J1000" s="194"/>
      <c r="K1000" s="194"/>
      <c r="L1000" s="194"/>
      <c r="M1000" s="194"/>
      <c r="N1000" s="194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</row>
  </sheetData>
  <mergeCells count="31">
    <mergeCell ref="L1:N1"/>
    <mergeCell ref="B4:B5"/>
    <mergeCell ref="C4:D5"/>
    <mergeCell ref="E4:F4"/>
    <mergeCell ref="H4:H6"/>
    <mergeCell ref="I4:J4"/>
    <mergeCell ref="E5:F5"/>
    <mergeCell ref="I5:J5"/>
    <mergeCell ref="B43:K43"/>
    <mergeCell ref="B45:B46"/>
    <mergeCell ref="C45:D46"/>
    <mergeCell ref="E45:F45"/>
    <mergeCell ref="H45:H47"/>
    <mergeCell ref="E46:F46"/>
    <mergeCell ref="E112:F112"/>
    <mergeCell ref="E113:F113"/>
    <mergeCell ref="I113:J113"/>
    <mergeCell ref="B157:N157"/>
    <mergeCell ref="B159:B160"/>
    <mergeCell ref="C159:D160"/>
    <mergeCell ref="E159:F159"/>
    <mergeCell ref="I159:J159"/>
    <mergeCell ref="E160:F160"/>
    <mergeCell ref="I160:J160"/>
    <mergeCell ref="I45:J45"/>
    <mergeCell ref="I46:J46"/>
    <mergeCell ref="B110:N110"/>
    <mergeCell ref="B112:B113"/>
    <mergeCell ref="C112:D113"/>
    <mergeCell ref="H112:H114"/>
    <mergeCell ref="I112:J112"/>
  </mergeCells>
  <printOptions/>
  <pageMargins bottom="0.75" footer="0.0" header="0.0" left="0.7" right="0.7" top="0.75"/>
  <pageSetup orientation="landscape"/>
  <drawing r:id="rId1"/>
</worksheet>
</file>